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threadedComments/threadedComment3.xml" ContentType="application/vnd.ms-excel.threadedcomments+xml"/>
  <Override PartName="/xl/comments6.xml" ContentType="application/vnd.openxmlformats-officedocument.spreadsheetml.comments+xml"/>
  <Override PartName="/xl/threadedComments/threadedComment4.xml" ContentType="application/vnd.ms-excel.threadedcomments+xml"/>
  <Override PartName="/xl/comments7.xml" ContentType="application/vnd.openxmlformats-officedocument.spreadsheetml.comments+xml"/>
  <Override PartName="/xl/threadedComments/threadedComment5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U:\Website Documents\2026 POSTS\"/>
    </mc:Choice>
  </mc:AlternateContent>
  <xr:revisionPtr revIDLastSave="0" documentId="8_{86C872A6-271C-4AA1-A864-9F8B6C67EA1B}" xr6:coauthVersionLast="47" xr6:coauthVersionMax="47" xr10:uidLastSave="{00000000-0000-0000-0000-000000000000}"/>
  <bookViews>
    <workbookView xWindow="-120" yWindow="-120" windowWidth="29040" windowHeight="15720" firstSheet="5" activeTab="5" xr2:uid="{BFD338ED-9F51-459B-8465-A09C529EC055}"/>
  </bookViews>
  <sheets>
    <sheet name="2025 Impact on Operating" sheetId="22" state="hidden" r:id="rId1"/>
    <sheet name="2023 ShowDoc Graphs" sheetId="17" state="hidden" r:id="rId2"/>
    <sheet name="P1" sheetId="20" state="hidden" r:id="rId3"/>
    <sheet name="P2" sheetId="21" state="hidden" r:id="rId4"/>
    <sheet name="ShowDoc 2024" sheetId="15" state="hidden" r:id="rId5"/>
    <sheet name="Master 2025-2030" sheetId="33" r:id="rId6"/>
    <sheet name="Fire 2025-2030" sheetId="35" r:id="rId7"/>
    <sheet name="Golf 2025-2030" sheetId="27" r:id="rId8"/>
    <sheet name="IT 2025-2030" sheetId="38" r:id="rId9"/>
    <sheet name="Open Space 2025-2030" sheetId="39" r:id="rId10"/>
    <sheet name="Park and Rec-Pool 2025-2030" sheetId="30" r:id="rId11"/>
    <sheet name="Patterson Farm 2025-2030" sheetId="29" r:id="rId12"/>
    <sheet name="Planning and Zoning 2025-2030" sheetId="36" r:id="rId13"/>
    <sheet name="Police 2025-2030" sheetId="37" r:id="rId14"/>
    <sheet name="Public Works 2025-2030" sheetId="31" r:id="rId15"/>
    <sheet name="Storms Sewer Drains 2025-2030" sheetId="34" r:id="rId16"/>
    <sheet name="Vehicle with Monthly Payments" sheetId="40" r:id="rId17"/>
    <sheet name="Grants " sheetId="28" r:id="rId18"/>
    <sheet name="Stormwater 2025-2029" sheetId="3" state="hidden" r:id="rId19"/>
    <sheet name="Sustainability 2025-2029" sheetId="12" state="hidden" r:id="rId20"/>
    <sheet name="Transportation 2025-2029" sheetId="4" state="hidden" r:id="rId21"/>
    <sheet name="Calculation" sheetId="24" state="hidden" r:id="rId22"/>
  </sheets>
  <definedNames>
    <definedName name="_xlnm._FilterDatabase" localSheetId="5" hidden="1">'Master 2025-2030'!$A$1:$EP$363</definedName>
    <definedName name="_xlnm._FilterDatabase" localSheetId="2" hidden="1">'P1'!$A$2:$G$54</definedName>
    <definedName name="_xlnm._FilterDatabase" localSheetId="3" hidden="1">'P2'!$A$2:$G$38</definedName>
    <definedName name="_xlnm._FilterDatabase" localSheetId="10" hidden="1">'Park and Rec-Pool 2025-2030'!$A$1:$EO$42</definedName>
    <definedName name="_xlnm._FilterDatabase" localSheetId="13" hidden="1">'Police 2025-2030'!$B$1:$N$13</definedName>
    <definedName name="_xlnm._FilterDatabase" localSheetId="14" hidden="1">'Public Works 2025-2030'!$A$1:$AD$49</definedName>
    <definedName name="_xlnm._FilterDatabase" localSheetId="4" hidden="1">'ShowDoc 2024'!$A$2:$G$81</definedName>
    <definedName name="_xlnm._FilterDatabase" localSheetId="20" hidden="1">'Transportation 2025-2029'!$A$1:$V$399</definedName>
    <definedName name="_xlnm.Print_Area" localSheetId="5">'Master 2025-2030'!$A$1:$U$130</definedName>
    <definedName name="_xlnm.Print_Area" localSheetId="2">'P1'!$A$1:$H$69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62" i="33" l="1"/>
  <c r="A63" i="33" s="1"/>
  <c r="A64" i="33" s="1"/>
  <c r="A65" i="33" s="1"/>
  <c r="A66" i="33" s="1"/>
  <c r="A67" i="33" s="1"/>
  <c r="A68" i="33" s="1"/>
  <c r="A69" i="33" s="1"/>
  <c r="A70" i="33" s="1"/>
  <c r="A71" i="33" s="1"/>
  <c r="A72" i="33" s="1"/>
  <c r="A73" i="33" s="1"/>
  <c r="A74" i="33" s="1"/>
  <c r="A75" i="33" s="1"/>
  <c r="A76" i="33" s="1"/>
  <c r="A77" i="33" s="1"/>
  <c r="A78" i="33" s="1"/>
  <c r="A79" i="33" s="1"/>
  <c r="A80" i="33" s="1"/>
  <c r="A81" i="33" s="1"/>
  <c r="A82" i="33" s="1"/>
  <c r="A83" i="33" s="1"/>
  <c r="A84" i="33" s="1"/>
  <c r="A85" i="33" s="1"/>
  <c r="A86" i="33" s="1"/>
  <c r="A87" i="33" s="1"/>
  <c r="A88" i="33" s="1"/>
  <c r="A89" i="33" s="1"/>
  <c r="A90" i="33" s="1"/>
  <c r="A91" i="33" s="1"/>
  <c r="A92" i="33" s="1"/>
  <c r="A93" i="33" s="1"/>
  <c r="A94" i="33" s="1"/>
  <c r="A95" i="33" s="1"/>
  <c r="A96" i="33" s="1"/>
  <c r="A97" i="33" s="1"/>
  <c r="A98" i="33" s="1"/>
  <c r="A99" i="33" s="1"/>
  <c r="A100" i="33" s="1"/>
  <c r="A101" i="33" s="1"/>
  <c r="A102" i="33" s="1"/>
  <c r="A103" i="33" s="1"/>
  <c r="A104" i="33" s="1"/>
  <c r="A105" i="33" s="1"/>
  <c r="A106" i="33" s="1"/>
  <c r="A107" i="33" s="1"/>
  <c r="A108" i="33" s="1"/>
  <c r="A109" i="33" s="1"/>
  <c r="A110" i="33" s="1"/>
  <c r="A111" i="33" s="1"/>
  <c r="A112" i="33" s="1"/>
  <c r="A113" i="33" s="1"/>
  <c r="A114" i="33" s="1"/>
  <c r="A115" i="33" s="1"/>
  <c r="A116" i="33" s="1"/>
  <c r="A117" i="33" s="1"/>
  <c r="A118" i="33" s="1"/>
  <c r="A119" i="33" s="1"/>
  <c r="A120" i="33" s="1"/>
  <c r="A121" i="33" s="1"/>
  <c r="A122" i="33" s="1"/>
  <c r="A123" i="33" s="1"/>
  <c r="A124" i="33" s="1"/>
  <c r="A125" i="33" s="1"/>
  <c r="A126" i="33" s="1"/>
  <c r="A127" i="33" s="1"/>
  <c r="A128" i="33" s="1"/>
  <c r="A129" i="33" s="1"/>
  <c r="A4" i="33"/>
  <c r="A5" i="33"/>
  <c r="A6" i="33"/>
  <c r="A7" i="33"/>
  <c r="A8" i="33"/>
  <c r="A9" i="33"/>
  <c r="A10" i="33"/>
  <c r="A11" i="33"/>
  <c r="A12" i="33"/>
  <c r="A13" i="33"/>
  <c r="A14" i="33"/>
  <c r="A15" i="33"/>
  <c r="A16" i="33" s="1"/>
  <c r="A17" i="33" s="1"/>
  <c r="A18" i="33" s="1"/>
  <c r="A19" i="33" s="1"/>
  <c r="A20" i="33" s="1"/>
  <c r="A21" i="33" s="1"/>
  <c r="A22" i="33" s="1"/>
  <c r="A23" i="33" s="1"/>
  <c r="A24" i="33" s="1"/>
  <c r="A25" i="33" s="1"/>
  <c r="A26" i="33" s="1"/>
  <c r="A27" i="33" s="1"/>
  <c r="A28" i="33" s="1"/>
  <c r="A29" i="33" s="1"/>
  <c r="A30" i="33" s="1"/>
  <c r="A31" i="33" s="1"/>
  <c r="A32" i="33" s="1"/>
  <c r="A33" i="33" s="1"/>
  <c r="A34" i="33" s="1"/>
  <c r="A35" i="33" s="1"/>
  <c r="A36" i="33" s="1"/>
  <c r="A37" i="33" s="1"/>
  <c r="A38" i="33" s="1"/>
  <c r="A39" i="33" s="1"/>
  <c r="A40" i="33" s="1"/>
  <c r="A41" i="33" s="1"/>
  <c r="A42" i="33" s="1"/>
  <c r="A43" i="33" s="1"/>
  <c r="A44" i="33" s="1"/>
  <c r="A45" i="33" s="1"/>
  <c r="A46" i="33" s="1"/>
  <c r="A47" i="33" s="1"/>
  <c r="A48" i="33" s="1"/>
  <c r="A49" i="33" s="1"/>
  <c r="A50" i="33" s="1"/>
  <c r="A51" i="33" s="1"/>
  <c r="A52" i="33" s="1"/>
  <c r="A53" i="33" s="1"/>
  <c r="A54" i="33" s="1"/>
  <c r="A55" i="33" s="1"/>
  <c r="A56" i="33" s="1"/>
  <c r="A57" i="33" s="1"/>
  <c r="A58" i="33" s="1"/>
  <c r="A59" i="33" s="1"/>
  <c r="A60" i="33" s="1"/>
  <c r="A61" i="33" s="1"/>
  <c r="A14" i="31"/>
  <c r="A15" i="31"/>
  <c r="A16" i="3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9" i="40"/>
  <c r="A10" i="40"/>
  <c r="A11" i="40" s="1"/>
  <c r="A12" i="40" s="1"/>
  <c r="A13" i="40" s="1"/>
  <c r="A14" i="40" s="1"/>
  <c r="A15" i="40" s="1"/>
  <c r="A16" i="40" s="1"/>
  <c r="A17" i="40" s="1"/>
  <c r="A4" i="40"/>
  <c r="A5" i="40"/>
  <c r="A6" i="40" s="1"/>
  <c r="A7" i="40" s="1"/>
  <c r="A8" i="40" s="1"/>
  <c r="A3" i="40"/>
  <c r="R6" i="31"/>
  <c r="R48" i="31" s="1"/>
  <c r="K6" i="31"/>
  <c r="K48" i="31" s="1"/>
  <c r="G48" i="31"/>
  <c r="H48" i="31"/>
  <c r="L48" i="31"/>
  <c r="M48" i="31"/>
  <c r="N48" i="31"/>
  <c r="S48" i="31"/>
  <c r="T42" i="30"/>
  <c r="S42" i="30"/>
  <c r="R42" i="30"/>
  <c r="G42" i="30"/>
  <c r="H42" i="30"/>
  <c r="L42" i="30"/>
  <c r="M42" i="30"/>
  <c r="N42" i="30"/>
  <c r="K12" i="30"/>
  <c r="K42" i="30" s="1"/>
  <c r="K6" i="29"/>
  <c r="K4" i="29"/>
  <c r="N6" i="39" l="1"/>
  <c r="M6" i="39"/>
  <c r="L6" i="39"/>
  <c r="J6" i="39"/>
  <c r="I6" i="39"/>
  <c r="H6" i="39"/>
  <c r="G6" i="39"/>
  <c r="F6" i="39"/>
  <c r="K6" i="39"/>
  <c r="A3" i="33"/>
  <c r="G7" i="29"/>
  <c r="H7" i="29"/>
  <c r="I7" i="29"/>
  <c r="J7" i="29"/>
  <c r="K7" i="29"/>
  <c r="L7" i="29"/>
  <c r="M7" i="29"/>
  <c r="N7" i="29"/>
  <c r="F7" i="29"/>
  <c r="J9" i="31"/>
  <c r="I6" i="31"/>
  <c r="I3" i="31"/>
  <c r="I3" i="30"/>
  <c r="J3" i="30" l="1"/>
  <c r="J16" i="31"/>
  <c r="J48" i="31" s="1"/>
  <c r="K4" i="38" l="1"/>
  <c r="T6" i="39" l="1"/>
  <c r="S6" i="39"/>
  <c r="R6" i="39"/>
  <c r="J3" i="38" l="1"/>
  <c r="G15" i="27"/>
  <c r="H15" i="27"/>
  <c r="I15" i="27"/>
  <c r="K15" i="27"/>
  <c r="L15" i="27"/>
  <c r="M15" i="27"/>
  <c r="N15" i="27"/>
  <c r="F15" i="27"/>
  <c r="J15" i="27" l="1"/>
  <c r="K5" i="37" l="1"/>
  <c r="I10" i="31" l="1"/>
  <c r="J10" i="30"/>
  <c r="J7" i="30"/>
  <c r="G13" i="37"/>
  <c r="I13" i="37"/>
  <c r="J13" i="37"/>
  <c r="K13" i="37"/>
  <c r="L13" i="37"/>
  <c r="M13" i="37"/>
  <c r="N13" i="37"/>
  <c r="J42" i="30" l="1"/>
  <c r="I9" i="31"/>
  <c r="I19" i="31" s="1"/>
  <c r="I48" i="31" s="1"/>
  <c r="I11" i="30"/>
  <c r="M130" i="33"/>
  <c r="N130" i="33"/>
  <c r="O130" i="33"/>
  <c r="G130" i="33"/>
  <c r="G5" i="34"/>
  <c r="H5" i="34"/>
  <c r="I5" i="34"/>
  <c r="J5" i="34"/>
  <c r="K5" i="34"/>
  <c r="L5" i="34"/>
  <c r="M5" i="34"/>
  <c r="N5" i="34"/>
  <c r="G7" i="38"/>
  <c r="H7" i="38"/>
  <c r="I7" i="38"/>
  <c r="J7" i="38"/>
  <c r="K7" i="38"/>
  <c r="L7" i="38"/>
  <c r="M7" i="38"/>
  <c r="N7" i="38"/>
  <c r="G12" i="35"/>
  <c r="H12" i="35"/>
  <c r="I12" i="35"/>
  <c r="J12" i="35"/>
  <c r="K12" i="35"/>
  <c r="L12" i="35"/>
  <c r="M12" i="35"/>
  <c r="N12" i="35"/>
  <c r="J3" i="36"/>
  <c r="K3" i="36"/>
  <c r="L3" i="36"/>
  <c r="M3" i="36"/>
  <c r="N3" i="36"/>
  <c r="H130" i="33"/>
  <c r="H3" i="37"/>
  <c r="H13" i="37" s="1"/>
  <c r="I42" i="30" l="1"/>
  <c r="N132" i="33"/>
  <c r="N133" i="33" s="1"/>
  <c r="O132" i="33"/>
  <c r="O133" i="33" s="1"/>
  <c r="M132" i="33"/>
  <c r="M133" i="33" s="1"/>
  <c r="J132" i="33"/>
  <c r="J130" i="33"/>
  <c r="I130" i="33"/>
  <c r="J133" i="33" l="1"/>
  <c r="I3" i="36"/>
  <c r="I132" i="33" s="1"/>
  <c r="I133" i="33" s="1"/>
  <c r="T6" i="31" l="1"/>
  <c r="T48" i="31" s="1"/>
  <c r="F13" i="37" l="1"/>
  <c r="F42" i="30"/>
  <c r="L132" i="33"/>
  <c r="L130" i="33"/>
  <c r="L133" i="33" l="1"/>
  <c r="A3" i="34"/>
  <c r="A4" i="34" s="1"/>
  <c r="A3" i="31"/>
  <c r="A4" i="31" s="1"/>
  <c r="A5" i="31" s="1"/>
  <c r="A6" i="31" s="1"/>
  <c r="A7" i="31" s="1"/>
  <c r="A8" i="31" s="1"/>
  <c r="A9" i="31" s="1"/>
  <c r="A10" i="31" s="1"/>
  <c r="A11" i="31" s="1"/>
  <c r="A12" i="31" s="1"/>
  <c r="A13" i="31" s="1"/>
  <c r="A3" i="37"/>
  <c r="A4" i="37" s="1"/>
  <c r="A5" i="37" s="1"/>
  <c r="A6" i="37" s="1"/>
  <c r="A7" i="37" s="1"/>
  <c r="A8" i="37" s="1"/>
  <c r="A9" i="37" s="1"/>
  <c r="A10" i="37" s="1"/>
  <c r="A11" i="37" s="1"/>
  <c r="A12" i="37" s="1"/>
  <c r="A3" i="29"/>
  <c r="A4" i="29" s="1"/>
  <c r="A5" i="29" s="1"/>
  <c r="A6" i="29" s="1"/>
  <c r="A3" i="27"/>
  <c r="A4" i="27" s="1"/>
  <c r="A5" i="27" s="1"/>
  <c r="A6" i="27" s="1"/>
  <c r="A7" i="27" s="1"/>
  <c r="A8" i="27" s="1"/>
  <c r="A9" i="27" s="1"/>
  <c r="A10" i="27" s="1"/>
  <c r="A11" i="27" s="1"/>
  <c r="A12" i="27" s="1"/>
  <c r="A13" i="27" s="1"/>
  <c r="A14" i="27" s="1"/>
  <c r="U130" i="33"/>
  <c r="T130" i="33"/>
  <c r="S130" i="33"/>
  <c r="F130" i="33"/>
  <c r="A3" i="30" l="1"/>
  <c r="A4" i="30" s="1"/>
  <c r="A5" i="30" s="1"/>
  <c r="A6" i="30" s="1"/>
  <c r="A7" i="30" s="1"/>
  <c r="A8" i="30" s="1"/>
  <c r="A9" i="30" s="1"/>
  <c r="A10" i="30" s="1"/>
  <c r="A11" i="30" s="1"/>
  <c r="A12" i="30" s="1"/>
  <c r="A13" i="30" s="1"/>
  <c r="A14" i="30" s="1"/>
  <c r="A15" i="30" s="1"/>
  <c r="A16" i="30" s="1"/>
  <c r="A17" i="30" s="1"/>
  <c r="A18" i="30" s="1"/>
  <c r="A19" i="30" s="1"/>
  <c r="A20" i="30" s="1"/>
  <c r="A21" i="30" s="1"/>
  <c r="A22" i="30" s="1"/>
  <c r="A23" i="30" s="1"/>
  <c r="A24" i="30" s="1"/>
  <c r="A25" i="30" s="1"/>
  <c r="A26" i="30" s="1"/>
  <c r="A27" i="30" s="1"/>
  <c r="A28" i="30" s="1"/>
  <c r="A29" i="30" s="1"/>
  <c r="A30" i="30" s="1"/>
  <c r="A31" i="30" s="1"/>
  <c r="A32" i="30" s="1"/>
  <c r="A33" i="30" s="1"/>
  <c r="A34" i="30" s="1"/>
  <c r="A35" i="30" s="1"/>
  <c r="A36" i="30" s="1"/>
  <c r="A37" i="30" s="1"/>
  <c r="A38" i="30" s="1"/>
  <c r="A39" i="30" s="1"/>
  <c r="A40" i="30" s="1"/>
  <c r="A41" i="30" s="1"/>
  <c r="F48" i="31"/>
  <c r="T7" i="38" l="1"/>
  <c r="S7" i="38"/>
  <c r="R7" i="38"/>
  <c r="F7" i="38"/>
  <c r="T13" i="37" l="1"/>
  <c r="S13" i="37"/>
  <c r="R13" i="37"/>
  <c r="T3" i="36"/>
  <c r="S3" i="36"/>
  <c r="R3" i="36"/>
  <c r="H3" i="36"/>
  <c r="H132" i="33" s="1"/>
  <c r="H133" i="33" s="1"/>
  <c r="G3" i="36"/>
  <c r="G132" i="33" s="1"/>
  <c r="G133" i="33" s="1"/>
  <c r="F3" i="36"/>
  <c r="T12" i="35"/>
  <c r="S12" i="35"/>
  <c r="R12" i="35"/>
  <c r="F12" i="35"/>
  <c r="T5" i="34" l="1"/>
  <c r="S5" i="34"/>
  <c r="R5" i="34"/>
  <c r="F5" i="34"/>
  <c r="T7" i="29"/>
  <c r="S7" i="29"/>
  <c r="R7" i="29"/>
  <c r="S15" i="27"/>
  <c r="T15" i="27"/>
  <c r="U132" i="33" s="1"/>
  <c r="U133" i="33" s="1"/>
  <c r="R15" i="27"/>
  <c r="S132" i="33" s="1"/>
  <c r="S133" i="33" s="1"/>
  <c r="F132" i="33"/>
  <c r="T132" i="33" l="1"/>
  <c r="T133" i="33" s="1"/>
  <c r="F133" i="33"/>
  <c r="M30" i="24"/>
  <c r="N40" i="24"/>
  <c r="N36" i="24"/>
  <c r="N35" i="24"/>
  <c r="N21" i="24"/>
  <c r="O19" i="24"/>
  <c r="O20" i="24"/>
  <c r="O21" i="24"/>
  <c r="O22" i="24"/>
  <c r="O23" i="24"/>
  <c r="O24" i="24"/>
  <c r="O25" i="24"/>
  <c r="O26" i="24"/>
  <c r="O27" i="24"/>
  <c r="O28" i="24"/>
  <c r="O18" i="24"/>
  <c r="B43" i="24"/>
  <c r="B28" i="24"/>
  <c r="C39" i="24"/>
  <c r="B39" i="24"/>
  <c r="B8" i="24"/>
  <c r="B46" i="24"/>
  <c r="J46" i="24"/>
  <c r="G42" i="24" l="1"/>
  <c r="F42" i="24"/>
  <c r="E42" i="24"/>
  <c r="I9" i="24"/>
  <c r="L25" i="24"/>
  <c r="L39" i="24"/>
  <c r="L24" i="24"/>
  <c r="C8" i="24"/>
  <c r="G8" i="24" s="1"/>
  <c r="L43" i="24"/>
  <c r="L42" i="24"/>
  <c r="L41" i="24"/>
  <c r="L40" i="24"/>
  <c r="L38" i="24"/>
  <c r="L37" i="24"/>
  <c r="L36" i="24"/>
  <c r="L35" i="24"/>
  <c r="L34" i="24"/>
  <c r="L33" i="24"/>
  <c r="L28" i="24"/>
  <c r="L27" i="24"/>
  <c r="L26" i="24"/>
  <c r="L23" i="24"/>
  <c r="L22" i="24"/>
  <c r="L21" i="24"/>
  <c r="L20" i="24"/>
  <c r="L19" i="24"/>
  <c r="L18" i="24"/>
  <c r="F12" i="24"/>
  <c r="E12" i="24"/>
  <c r="D12" i="24"/>
  <c r="B12" i="24"/>
  <c r="I11" i="24"/>
  <c r="G11" i="24"/>
  <c r="I10" i="24"/>
  <c r="G10" i="24"/>
  <c r="G9" i="24"/>
  <c r="I8" i="24"/>
  <c r="F8" i="24"/>
  <c r="I7" i="24"/>
  <c r="G7" i="24"/>
  <c r="I6" i="24"/>
  <c r="G6" i="24"/>
  <c r="I5" i="24"/>
  <c r="G5" i="24"/>
  <c r="I4" i="24"/>
  <c r="G4" i="24"/>
  <c r="I3" i="24"/>
  <c r="G3" i="24"/>
  <c r="I2" i="24"/>
  <c r="G2" i="24"/>
  <c r="M23" i="4"/>
  <c r="I12" i="24" l="1"/>
  <c r="C12" i="24"/>
  <c r="G12" i="24"/>
  <c r="F23" i="4" l="1"/>
  <c r="G23" i="4"/>
  <c r="H23" i="4"/>
  <c r="I23" i="4"/>
  <c r="J23" i="4"/>
  <c r="J10" i="12" l="1"/>
  <c r="J14" i="3"/>
  <c r="D54" i="20" l="1"/>
  <c r="F27" i="21"/>
  <c r="H54" i="20"/>
  <c r="B25" i="22" l="1"/>
  <c r="B20" i="22"/>
  <c r="B35" i="22" s="1"/>
  <c r="G30" i="20"/>
  <c r="E30" i="20"/>
  <c r="E22" i="20"/>
  <c r="H12" i="20" l="1"/>
  <c r="E6" i="21" l="1"/>
  <c r="E9" i="21"/>
  <c r="E12" i="21"/>
  <c r="E38" i="21" s="1"/>
  <c r="E15" i="21"/>
  <c r="E22" i="21"/>
  <c r="E27" i="21"/>
  <c r="E30" i="21"/>
  <c r="E37" i="21"/>
  <c r="I80" i="21"/>
  <c r="C80" i="21"/>
  <c r="I79" i="21"/>
  <c r="C79" i="21"/>
  <c r="I78" i="21"/>
  <c r="C78" i="21"/>
  <c r="I77" i="21"/>
  <c r="C77" i="21"/>
  <c r="C76" i="21"/>
  <c r="C75" i="21"/>
  <c r="I74" i="21"/>
  <c r="C74" i="21"/>
  <c r="I73" i="21"/>
  <c r="C73" i="21"/>
  <c r="I72" i="21"/>
  <c r="C72" i="21"/>
  <c r="I71" i="21"/>
  <c r="C71" i="21"/>
  <c r="G37" i="21"/>
  <c r="F37" i="21"/>
  <c r="D37" i="21"/>
  <c r="C37" i="21"/>
  <c r="H36" i="21"/>
  <c r="H35" i="21"/>
  <c r="H34" i="21"/>
  <c r="H33" i="21"/>
  <c r="H32" i="21"/>
  <c r="G30" i="21"/>
  <c r="F30" i="21"/>
  <c r="D30" i="21"/>
  <c r="C30" i="21"/>
  <c r="H29" i="21"/>
  <c r="G27" i="21"/>
  <c r="D27" i="21"/>
  <c r="C27" i="21"/>
  <c r="H26" i="21"/>
  <c r="H25" i="21"/>
  <c r="H24" i="21"/>
  <c r="G22" i="21"/>
  <c r="F22" i="21"/>
  <c r="D22" i="21"/>
  <c r="C22" i="21"/>
  <c r="H21" i="21"/>
  <c r="H20" i="21"/>
  <c r="H19" i="21"/>
  <c r="H18" i="21"/>
  <c r="H17" i="21"/>
  <c r="G15" i="21"/>
  <c r="F15" i="21"/>
  <c r="D15" i="21"/>
  <c r="C15" i="21"/>
  <c r="H14" i="21"/>
  <c r="G12" i="21"/>
  <c r="F12" i="21"/>
  <c r="D12" i="21"/>
  <c r="C12" i="21"/>
  <c r="H11" i="21"/>
  <c r="H12" i="21" s="1"/>
  <c r="G9" i="21"/>
  <c r="F9" i="21"/>
  <c r="D9" i="21"/>
  <c r="C9" i="21"/>
  <c r="H8" i="21"/>
  <c r="H9" i="21" s="1"/>
  <c r="G6" i="21"/>
  <c r="F6" i="21"/>
  <c r="D6" i="21"/>
  <c r="C6" i="21"/>
  <c r="H5" i="21"/>
  <c r="H4" i="21"/>
  <c r="I69" i="20"/>
  <c r="C69" i="20"/>
  <c r="I68" i="20"/>
  <c r="C68" i="20"/>
  <c r="I67" i="20"/>
  <c r="C67" i="20"/>
  <c r="I66" i="20"/>
  <c r="C66" i="20"/>
  <c r="I65" i="20"/>
  <c r="C65" i="20"/>
  <c r="I64" i="20"/>
  <c r="C64" i="20"/>
  <c r="I63" i="20"/>
  <c r="C63" i="20"/>
  <c r="I62" i="20"/>
  <c r="C62" i="20"/>
  <c r="I61" i="20"/>
  <c r="I60" i="20"/>
  <c r="G53" i="20"/>
  <c r="F53" i="20"/>
  <c r="E53" i="20"/>
  <c r="D53" i="20"/>
  <c r="C53" i="20"/>
  <c r="H52" i="20"/>
  <c r="H51" i="20"/>
  <c r="H50" i="20"/>
  <c r="H49" i="20"/>
  <c r="G47" i="20"/>
  <c r="F47" i="20"/>
  <c r="E47" i="20"/>
  <c r="D47" i="20"/>
  <c r="C47" i="20"/>
  <c r="H46" i="20"/>
  <c r="G44" i="20"/>
  <c r="F44" i="20"/>
  <c r="E44" i="20"/>
  <c r="D44" i="20"/>
  <c r="C44" i="20"/>
  <c r="H43" i="20"/>
  <c r="H42" i="20"/>
  <c r="H41" i="20"/>
  <c r="H40" i="20"/>
  <c r="H39" i="20"/>
  <c r="G37" i="20"/>
  <c r="F37" i="20"/>
  <c r="E37" i="20"/>
  <c r="D37" i="20"/>
  <c r="C37" i="20"/>
  <c r="H36" i="20"/>
  <c r="H35" i="20"/>
  <c r="H34" i="20"/>
  <c r="H33" i="20"/>
  <c r="H32" i="20"/>
  <c r="H31" i="20"/>
  <c r="H30" i="20"/>
  <c r="H29" i="20"/>
  <c r="H28" i="20"/>
  <c r="G26" i="20"/>
  <c r="F26" i="20"/>
  <c r="E26" i="20"/>
  <c r="D26" i="20"/>
  <c r="C26" i="20"/>
  <c r="H25" i="20"/>
  <c r="H24" i="20"/>
  <c r="H23" i="20"/>
  <c r="H22" i="20"/>
  <c r="G20" i="20"/>
  <c r="E20" i="20"/>
  <c r="D20" i="20"/>
  <c r="C20" i="20"/>
  <c r="F20" i="20"/>
  <c r="H18" i="20"/>
  <c r="H17" i="20"/>
  <c r="H16" i="20"/>
  <c r="H15" i="20"/>
  <c r="H14" i="20"/>
  <c r="G12" i="20"/>
  <c r="F12" i="20"/>
  <c r="E12" i="20"/>
  <c r="D12" i="20"/>
  <c r="C12" i="20"/>
  <c r="H11" i="20"/>
  <c r="H10" i="20"/>
  <c r="H9" i="20"/>
  <c r="G7" i="20"/>
  <c r="F7" i="20"/>
  <c r="E7" i="20"/>
  <c r="D7" i="20"/>
  <c r="C7" i="20"/>
  <c r="H6" i="20"/>
  <c r="H5" i="20"/>
  <c r="C28" i="15"/>
  <c r="H43" i="15"/>
  <c r="H56" i="15"/>
  <c r="H57" i="15"/>
  <c r="H58" i="15"/>
  <c r="H50" i="15"/>
  <c r="H48" i="15"/>
  <c r="I96" i="15"/>
  <c r="C96" i="15"/>
  <c r="I95" i="15"/>
  <c r="C95" i="15"/>
  <c r="I94" i="15"/>
  <c r="C94" i="15"/>
  <c r="I93" i="15"/>
  <c r="C93" i="15"/>
  <c r="I92" i="15"/>
  <c r="C92" i="15"/>
  <c r="I91" i="15"/>
  <c r="C91" i="15"/>
  <c r="I90" i="15"/>
  <c r="C90" i="15"/>
  <c r="I89" i="15"/>
  <c r="C89" i="15"/>
  <c r="I88" i="15"/>
  <c r="C88" i="15"/>
  <c r="I87" i="15"/>
  <c r="C87" i="15"/>
  <c r="E6" i="15"/>
  <c r="H8" i="15"/>
  <c r="E14" i="15"/>
  <c r="E20" i="15"/>
  <c r="E28" i="15"/>
  <c r="E34" i="15"/>
  <c r="E53" i="15"/>
  <c r="E63" i="15"/>
  <c r="E67" i="15"/>
  <c r="E78" i="15"/>
  <c r="H4" i="15"/>
  <c r="H5" i="15"/>
  <c r="G38" i="21" l="1"/>
  <c r="C38" i="21"/>
  <c r="H7" i="20"/>
  <c r="F54" i="20"/>
  <c r="G54" i="20"/>
  <c r="E54" i="20"/>
  <c r="C54" i="20"/>
  <c r="D38" i="21"/>
  <c r="F38" i="21"/>
  <c r="H6" i="21"/>
  <c r="H15" i="21"/>
  <c r="H22" i="21"/>
  <c r="H27" i="21"/>
  <c r="H30" i="21"/>
  <c r="H37" i="21"/>
  <c r="H47" i="20"/>
  <c r="H44" i="20"/>
  <c r="H26" i="20"/>
  <c r="H37" i="20"/>
  <c r="H53" i="20"/>
  <c r="H19" i="20"/>
  <c r="H20" i="20" s="1"/>
  <c r="E9" i="15"/>
  <c r="E81" i="15" s="1"/>
  <c r="H6" i="15"/>
  <c r="H38" i="21" l="1"/>
  <c r="I10" i="12"/>
  <c r="I14" i="3"/>
  <c r="G6" i="17" l="1"/>
  <c r="G5" i="17"/>
  <c r="G7" i="17" s="1"/>
  <c r="G4" i="17"/>
  <c r="G3" i="17"/>
  <c r="G2" i="17"/>
  <c r="B97" i="17"/>
  <c r="C88" i="17" s="1"/>
  <c r="D78" i="17"/>
  <c r="D66" i="17"/>
  <c r="D60" i="17"/>
  <c r="D52" i="17"/>
  <c r="D36" i="17"/>
  <c r="D30" i="17"/>
  <c r="D21" i="17"/>
  <c r="D15" i="17"/>
  <c r="D8" i="17"/>
  <c r="D5" i="17"/>
  <c r="H70" i="15"/>
  <c r="H71" i="15"/>
  <c r="H72" i="15"/>
  <c r="H73" i="15"/>
  <c r="H74" i="15"/>
  <c r="H75" i="15"/>
  <c r="H76" i="15"/>
  <c r="H77" i="15"/>
  <c r="H69" i="15"/>
  <c r="H66" i="15"/>
  <c r="H55" i="15"/>
  <c r="H59" i="15"/>
  <c r="H60" i="15"/>
  <c r="H61" i="15"/>
  <c r="H62" i="15"/>
  <c r="H40" i="15"/>
  <c r="H47" i="15"/>
  <c r="H46" i="15"/>
  <c r="H41" i="15"/>
  <c r="H44" i="15"/>
  <c r="H45" i="15"/>
  <c r="H51" i="15"/>
  <c r="H42" i="15"/>
  <c r="H49" i="15"/>
  <c r="H52" i="15"/>
  <c r="H39" i="15"/>
  <c r="H32" i="15"/>
  <c r="H33" i="15"/>
  <c r="H30" i="15"/>
  <c r="H26" i="15"/>
  <c r="H24" i="15"/>
  <c r="H25" i="15"/>
  <c r="H23" i="15"/>
  <c r="H22" i="15"/>
  <c r="H17" i="15"/>
  <c r="H18" i="15"/>
  <c r="H19" i="15"/>
  <c r="H16" i="15"/>
  <c r="H12" i="15"/>
  <c r="H13" i="15"/>
  <c r="H11" i="15"/>
  <c r="H65" i="15"/>
  <c r="H9" i="15"/>
  <c r="H31" i="15"/>
  <c r="D67" i="15"/>
  <c r="F67" i="15"/>
  <c r="G67" i="15"/>
  <c r="C67" i="15"/>
  <c r="D63" i="15"/>
  <c r="F63" i="15"/>
  <c r="G63" i="15"/>
  <c r="C63" i="15"/>
  <c r="D53" i="15"/>
  <c r="F53" i="15"/>
  <c r="G53" i="15"/>
  <c r="C53" i="15"/>
  <c r="D78" i="15"/>
  <c r="F78" i="15"/>
  <c r="G78" i="15"/>
  <c r="C78" i="15"/>
  <c r="D34" i="15"/>
  <c r="F34" i="15"/>
  <c r="G34" i="15"/>
  <c r="C34" i="15"/>
  <c r="D28" i="15"/>
  <c r="G28" i="15"/>
  <c r="D20" i="15"/>
  <c r="F20" i="15"/>
  <c r="G20" i="15"/>
  <c r="C20" i="15"/>
  <c r="D14" i="15"/>
  <c r="F14" i="15"/>
  <c r="G14" i="15"/>
  <c r="C14" i="15"/>
  <c r="D6" i="15"/>
  <c r="F6" i="15"/>
  <c r="G6" i="15"/>
  <c r="D9" i="15"/>
  <c r="F9" i="15"/>
  <c r="G9" i="15"/>
  <c r="C9" i="15"/>
  <c r="C6" i="15"/>
  <c r="F27" i="15"/>
  <c r="F28" i="15" s="1"/>
  <c r="H20" i="15" l="1"/>
  <c r="D81" i="17"/>
  <c r="C87" i="17"/>
  <c r="C93" i="17"/>
  <c r="C95" i="17"/>
  <c r="C94" i="17"/>
  <c r="C92" i="17"/>
  <c r="C91" i="17"/>
  <c r="C90" i="17"/>
  <c r="C89" i="17"/>
  <c r="C96" i="17"/>
  <c r="H63" i="15"/>
  <c r="C81" i="15"/>
  <c r="H27" i="15"/>
  <c r="H28" i="15" s="1"/>
  <c r="H34" i="15"/>
  <c r="H14" i="15"/>
  <c r="H53" i="15"/>
  <c r="H67" i="15"/>
  <c r="H78" i="15"/>
  <c r="D81" i="15"/>
  <c r="G81" i="15"/>
  <c r="F81" i="15"/>
  <c r="H81" i="15" l="1"/>
  <c r="F14" i="3" l="1"/>
  <c r="G14" i="3"/>
  <c r="H14" i="3"/>
  <c r="M10" i="12" l="1"/>
  <c r="H10" i="12"/>
  <c r="G10" i="12"/>
  <c r="F10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tc={32A51D11-00F8-48E3-913D-B9091A49A4CC}</author>
    <author>tc={316EE4F8-CC7E-49B5-B528-657A77D601D2}</author>
  </authors>
  <commentList>
    <comment ref="A29" authorId="0" shapeId="0" xr:uid="{32A51D11-00F8-48E3-913D-B9091A49A4CC}">
      <text>
        <t>[Threaded comment]
Your version of Excel allows you to read this threaded comment; however, any edits to it will get removed if the file is opened in a newer version of Excel. Learn more: https://go.microsoft.com/fwlink/?linkid=870924
Comment:
    Includes site work, brine machine, and electrical</t>
      </text>
    </comment>
    <comment ref="G30" authorId="1" shapeId="0" xr:uid="{316EE4F8-CC7E-49B5-B528-657A77D601D2}">
      <text>
        <t>[Threaded comment]
Your version of Excel allows you to read this threaded comment; however, any edits to it will get removed if the file is opened in a newer version of Excel. Learn more: https://go.microsoft.com/fwlink/?linkid=870924
Comment:
    Possibly more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tc={07FFDF77-BD53-4901-91D4-A412DCE31412}</author>
    <author>tc={C2894C97-3F64-49ED-A7DF-4CA6B3A6578C}</author>
  </authors>
  <commentList>
    <comment ref="A40" authorId="0" shapeId="0" xr:uid="{07FFDF77-BD53-4901-91D4-A412DCE31412}">
      <text>
        <t>[Threaded comment]
Your version of Excel allows you to read this threaded comment; however, any edits to it will get removed if the file is opened in a newer version of Excel. Learn more: https://go.microsoft.com/fwlink/?linkid=870924
Comment:
    Includes site work, brine machine, and electrical</t>
      </text>
    </comment>
    <comment ref="G41" authorId="1" shapeId="0" xr:uid="{C2894C97-3F64-49ED-A7DF-4CA6B3A6578C}">
      <text>
        <t>[Threaded comment]
Your version of Excel allows you to read this threaded comment; however, any edits to it will get removed if the file is opened in a newer version of Excel. Learn more: https://go.microsoft.com/fwlink/?linkid=870924
Comment:
    Possibly more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Nick Valla</author>
  </authors>
  <commentList>
    <comment ref="AC10" authorId="0" shapeId="0" xr:uid="{4D11561B-C758-424D-A136-1FA215790AC4}">
      <text>
        <r>
          <rPr>
            <b/>
            <sz val="9"/>
            <color indexed="81"/>
            <rFont val="Tahoma"/>
            <family val="2"/>
          </rPr>
          <t>Nick Valla:</t>
        </r>
        <r>
          <rPr>
            <sz val="9"/>
            <color indexed="81"/>
            <rFont val="Tahoma"/>
            <family val="2"/>
          </rPr>
          <t xml:space="preserve">
New Increased maintenance and electric consumption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Nick Valla</author>
  </authors>
  <commentList>
    <comment ref="AB10" authorId="0" shapeId="0" xr:uid="{6C7D4BA7-951A-46D4-B481-A8E6E5467ECA}">
      <text>
        <r>
          <rPr>
            <b/>
            <sz val="9"/>
            <color indexed="81"/>
            <rFont val="Tahoma"/>
            <family val="2"/>
          </rPr>
          <t>Nick Valla:</t>
        </r>
        <r>
          <rPr>
            <sz val="9"/>
            <color indexed="81"/>
            <rFont val="Tahoma"/>
            <family val="2"/>
          </rPr>
          <t xml:space="preserve">
New Increased maintenance and electric consumption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tc={85210A7E-6C76-4563-9708-A9EBBD951F7F}</author>
    <author>tc={5DC6262F-79BC-4BE3-AE1B-7F61FE7D7632}</author>
  </authors>
  <commentList>
    <comment ref="K5" authorId="0" shapeId="0" xr:uid="{85210A7E-6C76-4563-9708-A9EBBD951F7F}">
      <text>
        <t>[Threaded comment]
Your version of Excel allows you to read this threaded comment; however, any edits to it will get removed if the file is opened in a newer version of Excel. Learn more: https://go.microsoft.com/fwlink/?linkid=870924
Comment:
    $86,000 Max for LSA Grant Reimbursement</t>
      </text>
    </comment>
    <comment ref="K6" authorId="1" shapeId="0" xr:uid="{5DC6262F-79BC-4BE3-AE1B-7F61FE7D7632}">
      <text>
        <t>[Threaded comment]
Your version of Excel allows you to read this threaded comment; however, any edits to it will get removed if the file is opened in a newer version of Excel. Learn more: https://go.microsoft.com/fwlink/?linkid=870924
Comment:
    Includes $284,545 Previously Transferred bond proceeds ($700k)</t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tc={8FD81ADA-B8A4-4A83-924C-9E8D6EE967ED}</author>
  </authors>
  <commentList>
    <comment ref="M5" authorId="0" shapeId="0" xr:uid="{8FD81ADA-B8A4-4A83-924C-9E8D6EE967ED}">
      <text>
        <t>[Threaded comment]
Your version of Excel allows you to read this threaded comment; however, any edits to it will get removed if the file is opened in a newer version of Excel. Learn more: https://go.microsoft.com/fwlink/?linkid=870924
Comment:
    744k earned
500k applied</t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tc={474BF809-8B9C-4C40-A706-4578E97ACAF3}</author>
    <author>tc={BE4DC5A6-124C-48FD-8D3C-AD8940AA0FDE}</author>
  </authors>
  <commentList>
    <comment ref="M4" authorId="0" shapeId="0" xr:uid="{474BF809-8B9C-4C40-A706-4578E97ACAF3}">
      <text>
        <t>[Threaded comment]
Your version of Excel allows you to read this threaded comment; however, any edits to it will get removed if the file is opened in a newer version of Excel. Learn more: https://go.microsoft.com/fwlink/?linkid=870924
Comment:
    Seek add’l funds from NSD</t>
      </text>
    </comment>
    <comment ref="G12" authorId="1" shapeId="0" xr:uid="{BE4DC5A6-124C-48FD-8D3C-AD8940AA0FDE}">
      <text>
        <t>[Threaded comment]
Your version of Excel allows you to read this threaded comment; however, any edits to it will get removed if the file is opened in a newer version of Excel. Learn more: https://go.microsoft.com/fwlink/?linkid=870924
Comment:
    May be implemented in part by Piazza</t>
      </text>
    </comment>
  </commentList>
</comments>
</file>

<file path=xl/sharedStrings.xml><?xml version="1.0" encoding="utf-8"?>
<sst xmlns="http://schemas.openxmlformats.org/spreadsheetml/2006/main" count="3327" uniqueCount="647">
  <si>
    <t>#</t>
  </si>
  <si>
    <t>Project Name</t>
  </si>
  <si>
    <t>Project Description</t>
  </si>
  <si>
    <t>Priority</t>
  </si>
  <si>
    <t>Project Category</t>
  </si>
  <si>
    <t>Grant Name</t>
  </si>
  <si>
    <t>Grant Status</t>
  </si>
  <si>
    <t>Potential Grant Amount</t>
  </si>
  <si>
    <t>Department</t>
  </si>
  <si>
    <t>Project Manager</t>
  </si>
  <si>
    <t>Asset Category</t>
  </si>
  <si>
    <t>Useful Life</t>
  </si>
  <si>
    <t>Replace/New</t>
  </si>
  <si>
    <t>Funding Source</t>
  </si>
  <si>
    <t>Bid/RFP/Quote</t>
  </si>
  <si>
    <t>Expected savings (cost) of project on operating ($)</t>
  </si>
  <si>
    <t>Rationale for impact on operating</t>
  </si>
  <si>
    <t>Notes</t>
  </si>
  <si>
    <t>Vehicles (Police)</t>
  </si>
  <si>
    <t>Police</t>
  </si>
  <si>
    <t>RDA</t>
  </si>
  <si>
    <t>Applied</t>
  </si>
  <si>
    <t>Vehicles</t>
  </si>
  <si>
    <t>Replace</t>
  </si>
  <si>
    <t>App. Vendor</t>
  </si>
  <si>
    <t>No</t>
  </si>
  <si>
    <t>New</t>
  </si>
  <si>
    <t>Capital Fund</t>
  </si>
  <si>
    <t>Quote</t>
  </si>
  <si>
    <t>Equipment</t>
  </si>
  <si>
    <t>Reduced liability</t>
  </si>
  <si>
    <t>Body Cameras</t>
  </si>
  <si>
    <t>Bid</t>
  </si>
  <si>
    <t>Active Shooter Simulator</t>
  </si>
  <si>
    <t>Reduced liability and maintenance costs</t>
  </si>
  <si>
    <t>Land Improvement</t>
  </si>
  <si>
    <t>Isaac Kessler</t>
  </si>
  <si>
    <t>Remington Vernick</t>
  </si>
  <si>
    <t>Storm Sewer &amp; Drains</t>
  </si>
  <si>
    <t>Storm sewer and drains</t>
  </si>
  <si>
    <t>Annual reporting and planning</t>
  </si>
  <si>
    <t>MS4 Program</t>
  </si>
  <si>
    <t>Playwicki Street Culvert Replacement</t>
  </si>
  <si>
    <t>Reetz Avenue Culvert Replacement</t>
  </si>
  <si>
    <t>Richardson Avenue</t>
  </si>
  <si>
    <t>Hillside Avenue</t>
  </si>
  <si>
    <t>Emergency drainage improvement fund</t>
  </si>
  <si>
    <t>Emergency Drainage Projects</t>
  </si>
  <si>
    <t>Asset Type</t>
  </si>
  <si>
    <t>Transportation</t>
  </si>
  <si>
    <t>ADA Curb Ramp Program</t>
  </si>
  <si>
    <t>Traffic Preemption Replacement</t>
  </si>
  <si>
    <t>Fund to replace preemption devices</t>
  </si>
  <si>
    <t>Public Works</t>
  </si>
  <si>
    <t>Eric Gartenmeyer</t>
  </si>
  <si>
    <t>Grants/Capital</t>
  </si>
  <si>
    <t>None</t>
  </si>
  <si>
    <t>Maple Point Drive Crossing</t>
  </si>
  <si>
    <t>School Zone Improvements</t>
  </si>
  <si>
    <t>Improve traffic controller and speed signs</t>
  </si>
  <si>
    <t>PenndDOT Multimodal</t>
  </si>
  <si>
    <t>Swift Road and Woodbourne Road</t>
  </si>
  <si>
    <t>Traffic Signal Mast Arm Replacement</t>
  </si>
  <si>
    <t>MT-3 Bus. 1/Woodbourne replace mast arms and foundations for NB and SB</t>
  </si>
  <si>
    <t>Reduced maintenance cost and liability</t>
  </si>
  <si>
    <t>MT-29 Trenton/Durham replace mast arms and foundations EB and WB Durham</t>
  </si>
  <si>
    <t>MT-4 Bus 1/Reedmans replace mast arm and foundation for Reedman approach</t>
  </si>
  <si>
    <t>MT-8 Bus 1/I-295 Ramps replace two mast arms and foundations</t>
  </si>
  <si>
    <t>MT-12 213/Woodbourne replace mast arm and foundation for NB 213</t>
  </si>
  <si>
    <t>Administration</t>
  </si>
  <si>
    <t>Nick Valla</t>
  </si>
  <si>
    <t>Inlet Tops</t>
  </si>
  <si>
    <t>Langhorne Gables Phase II</t>
  </si>
  <si>
    <t>Guiderail Work</t>
  </si>
  <si>
    <t>Roadway Plates</t>
  </si>
  <si>
    <t>Vehicles (DPW)</t>
  </si>
  <si>
    <t>Light Equipment (DPW)</t>
  </si>
  <si>
    <t>Public Works Site Improvements</t>
  </si>
  <si>
    <t>Heavy Equipment (DPW)</t>
  </si>
  <si>
    <t>B&amp;Z/DPW</t>
  </si>
  <si>
    <t>Intersection Improvements</t>
  </si>
  <si>
    <t>Street Signs</t>
  </si>
  <si>
    <t>Possible</t>
  </si>
  <si>
    <t>Levittown Footbridges</t>
  </si>
  <si>
    <t xml:space="preserve">Road Improvement </t>
  </si>
  <si>
    <t>Building and Grounds</t>
  </si>
  <si>
    <t>Building Improvement</t>
  </si>
  <si>
    <t>Building &amp; Grounds</t>
  </si>
  <si>
    <t>HVAC System</t>
  </si>
  <si>
    <t>Information Technology</t>
  </si>
  <si>
    <t>Public Hall Improvements</t>
  </si>
  <si>
    <t>Fuel efficiency; reduced maintenance costs</t>
  </si>
  <si>
    <t>Fire/Emergency Services</t>
  </si>
  <si>
    <t>Vehicle (Fire)</t>
  </si>
  <si>
    <t>Air Packs</t>
  </si>
  <si>
    <t>Parks &amp; Recreation</t>
  </si>
  <si>
    <t>Firefighters' Park</t>
  </si>
  <si>
    <t>Forsythia Crossing Park</t>
  </si>
  <si>
    <t>Middletown Community Park</t>
  </si>
  <si>
    <t>Community Center</t>
  </si>
  <si>
    <t>Tree Remediation</t>
  </si>
  <si>
    <t>Electric Vehicle</t>
  </si>
  <si>
    <t>Comprehensive Parks Plan</t>
  </si>
  <si>
    <t>Building &amp; Zoning</t>
  </si>
  <si>
    <t>Building and Zoning</t>
  </si>
  <si>
    <t>Desktop Computer Replacement</t>
  </si>
  <si>
    <t>Network Maintenance</t>
  </si>
  <si>
    <t>Patrol Mobile Data Terminals (MDTs)</t>
  </si>
  <si>
    <t>Solar Panels</t>
  </si>
  <si>
    <t>Sustainability</t>
  </si>
  <si>
    <t>Residential Recycling Containers</t>
  </si>
  <si>
    <t>Recycling Containers at Parks</t>
  </si>
  <si>
    <t>Graham</t>
  </si>
  <si>
    <t>Bid?</t>
  </si>
  <si>
    <t>EV Charging Stations</t>
  </si>
  <si>
    <t>AFIG</t>
  </si>
  <si>
    <t>Valla/Gartenmayer</t>
  </si>
  <si>
    <t>Net zero- increased electric usage offset by revenue</t>
  </si>
  <si>
    <t>Driving PA Forward/PECO</t>
  </si>
  <si>
    <t>Rebate</t>
  </si>
  <si>
    <t>Level 2 EV Station- 4 plugs/2 stations- COUNTRY CLUB</t>
  </si>
  <si>
    <t>Weatherization</t>
  </si>
  <si>
    <t>Level 2 EV Station- 4 plugs/2 stations- COMM PARK</t>
  </si>
  <si>
    <t>Level 3 EV Station- 3 plugs/3 stations- COMM PARK</t>
  </si>
  <si>
    <t>Municipal Center Improvements</t>
  </si>
  <si>
    <t>Install handicap ramps throughout twp</t>
  </si>
  <si>
    <t>Earned</t>
  </si>
  <si>
    <t>Shop Equipment</t>
  </si>
  <si>
    <t>Traffic Signal Preemption Replacement</t>
  </si>
  <si>
    <t>Conference Room Technology</t>
  </si>
  <si>
    <t>Turn Lane Addition</t>
  </si>
  <si>
    <t>Low Clearance Bridge Solution</t>
  </si>
  <si>
    <t>Langhorne Yardley Road TIP</t>
  </si>
  <si>
    <t>Earned Grants</t>
  </si>
  <si>
    <t>Vehicles &amp; Equipment</t>
  </si>
  <si>
    <t>Entry Tool Kits</t>
  </si>
  <si>
    <t>Fire &amp; Emergency Services</t>
  </si>
  <si>
    <t>Vehicle Retrofit</t>
  </si>
  <si>
    <t>Fire Engine &amp; Equipment</t>
  </si>
  <si>
    <t>Radio Equipment</t>
  </si>
  <si>
    <t>Heavy Equipment</t>
  </si>
  <si>
    <t>Light Equipment</t>
  </si>
  <si>
    <t>Neighborhood Drainage Projects</t>
  </si>
  <si>
    <t>Inlet Tops &amp; Collars</t>
  </si>
  <si>
    <t>Category // Project</t>
  </si>
  <si>
    <t>PROJECT COST</t>
  </si>
  <si>
    <t>TOTAL</t>
  </si>
  <si>
    <t>Grant Funding</t>
  </si>
  <si>
    <t>Cost</t>
  </si>
  <si>
    <t>Potential</t>
  </si>
  <si>
    <t>Other Funds</t>
  </si>
  <si>
    <t>Due From</t>
  </si>
  <si>
    <t>Funding</t>
  </si>
  <si>
    <t>Langhorne Spring Site Improvements</t>
  </si>
  <si>
    <t>2023 CAPITAL IMPROVEMENT PROJECTS BY CATEGORY (CONT.)</t>
  </si>
  <si>
    <t>Turnout Gear</t>
  </si>
  <si>
    <t>TOTAL COSTS</t>
  </si>
  <si>
    <t>Langhorne-Yardley/Maple Point Crossing</t>
  </si>
  <si>
    <t>Woodbourne Walkability Improvements</t>
  </si>
  <si>
    <t>Municipal Building Roof &amp; Solar Panels</t>
  </si>
  <si>
    <t>Building Improvements</t>
  </si>
  <si>
    <t>Professional Services</t>
  </si>
  <si>
    <t>Land Improvements</t>
  </si>
  <si>
    <t>Savings (Expense)</t>
  </si>
  <si>
    <t>Source of Savings</t>
  </si>
  <si>
    <t>TOTAL NET SAVINGS</t>
  </si>
  <si>
    <t>Staff efficiency of 400 hours for reduced maintenance.</t>
  </si>
  <si>
    <t>Staff efficiency of 40 hours per year.</t>
  </si>
  <si>
    <t>Reduced maintenance of 100 hours per year.</t>
  </si>
  <si>
    <t>Staff efficiency of 500 hours for less road maintenance; savings on road repair materials.</t>
  </si>
  <si>
    <t>Estimated reduction in staff time for maintenance.</t>
  </si>
  <si>
    <t>DCED Multimodal</t>
  </si>
  <si>
    <t>Maple Avenue/N. Flowers Mill Signal Improvements</t>
  </si>
  <si>
    <t>Improve signal technology at 6 intersections</t>
  </si>
  <si>
    <t>PennDOT Green Light Go</t>
  </si>
  <si>
    <t>Fire Prevention</t>
  </si>
  <si>
    <t>Pedestrian Signal Equipment Upgrades</t>
  </si>
  <si>
    <t>Upgrade pedestrian signal technology along New Falls Rd and Woodbourne Rd corridors</t>
  </si>
  <si>
    <t>CDBG</t>
  </si>
  <si>
    <t>Will Apply</t>
  </si>
  <si>
    <t>PennDOT ARLE</t>
  </si>
  <si>
    <t>Langhorne-Yardley Road Maple Point Crossing</t>
  </si>
  <si>
    <t>Add turn lane to SB SR413 at Bridgetown Pike</t>
  </si>
  <si>
    <t>Adaptive Signal System Expansion</t>
  </si>
  <si>
    <t>Continue implementation of adaptive signal system</t>
  </si>
  <si>
    <t>Duty Pistol Upgrade</t>
  </si>
  <si>
    <t>License Plate Readers</t>
  </si>
  <si>
    <t>Broadcast System Upgrades</t>
  </si>
  <si>
    <t>Vehicle</t>
  </si>
  <si>
    <t>Concession Stand Safety Project</t>
  </si>
  <si>
    <t>Queen Anne Creek Streambank Restoration</t>
  </si>
  <si>
    <t>MS4 Project</t>
  </si>
  <si>
    <t>Queen Anne Creek Inlet Sediment Removal</t>
  </si>
  <si>
    <t>Neshaminy Creek Inlet Sediment Removal</t>
  </si>
  <si>
    <t>Streetlight Pole Replacement</t>
  </si>
  <si>
    <t>Body and In-Car Cameras</t>
  </si>
  <si>
    <t>Stormwater</t>
  </si>
  <si>
    <t>Solar Panels at Community Park Barn</t>
  </si>
  <si>
    <t>Fire Command Vehicle</t>
  </si>
  <si>
    <t>RDA Grant</t>
  </si>
  <si>
    <t>Requests</t>
  </si>
  <si>
    <t>New Hire Turnout Gear</t>
  </si>
  <si>
    <t>2024 CAPITAL IMPROVEMENT PROJECTS BY CATEGORY</t>
  </si>
  <si>
    <t>2024 CAPITAL IMPROVEMENT PROJECTS BY CATEGORY (CONT.)</t>
  </si>
  <si>
    <t>Priority 1 Total</t>
  </si>
  <si>
    <t>Priority 2 Total</t>
  </si>
  <si>
    <t>Body &amp; In-Car Cameras</t>
  </si>
  <si>
    <t>2</t>
  </si>
  <si>
    <t>1</t>
  </si>
  <si>
    <t>Heavy Equipment (Tractor)</t>
  </si>
  <si>
    <t>Heavy Equipment (Forklift)</t>
  </si>
  <si>
    <t>Road Condition Assessment Tool</t>
  </si>
  <si>
    <t>Maple Ave/N. Flowers Mill Signal Imprvmt</t>
  </si>
  <si>
    <t>Multimodal Plan Implementation</t>
  </si>
  <si>
    <t>Light Equipment (Zero Turn Mower)</t>
  </si>
  <si>
    <t>Light Equipment (Pressure Washer)</t>
  </si>
  <si>
    <t>PROJECT</t>
  </si>
  <si>
    <t xml:space="preserve">Grant </t>
  </si>
  <si>
    <t>Grant</t>
  </si>
  <si>
    <t>Fund</t>
  </si>
  <si>
    <t>Other</t>
  </si>
  <si>
    <t>COST</t>
  </si>
  <si>
    <t>Funds</t>
  </si>
  <si>
    <t>2024 CAPITAL IMPROVEMENT PROJECTS BY CATEGORY - PRIORITY 1</t>
  </si>
  <si>
    <t>2024 CAPITAL IMPROVEMENT PROJECTS BY CATEGORY - PRIORITY 2</t>
  </si>
  <si>
    <t>Building &amp; Ground</t>
  </si>
  <si>
    <t>Added fleet vehicle maintenance; offset by reduced mileage reimbursement.</t>
  </si>
  <si>
    <t>Wireless internet service costs.</t>
  </si>
  <si>
    <t>Fuel efficiency; reduced maintenance costs.</t>
  </si>
  <si>
    <t>Annual maintenance contract cost.</t>
  </si>
  <si>
    <t>Cost of additional part-time employee.</t>
  </si>
  <si>
    <t>Staff efficiency of 100 hours; energy efficiency; utility reduction.</t>
  </si>
  <si>
    <t>Staff efficiency of 100 hours; fuel efficiency; reduced maintenance costs; additional piece of equipment (added maintenance).</t>
  </si>
  <si>
    <t>Reduced contracted services.</t>
  </si>
  <si>
    <t>200 hours of staff time to execute project.</t>
  </si>
  <si>
    <t>Reduced energy consumption and revenue from solar renewable energy credits (SRECs).</t>
  </si>
  <si>
    <t>Increased energy utilization for new amenity.</t>
  </si>
  <si>
    <t>Reduced energy consumption.</t>
  </si>
  <si>
    <t>Energy efficiency; reduced maintenance costs.</t>
  </si>
  <si>
    <t>Road Improvement Program</t>
  </si>
  <si>
    <t>Valla</t>
  </si>
  <si>
    <t>Municipal Center weatherization assessment; improvements</t>
  </si>
  <si>
    <t>PECO Green Region</t>
  </si>
  <si>
    <t>Sidewalk Expansion</t>
  </si>
  <si>
    <t>Bike Lanes</t>
  </si>
  <si>
    <t>Trenton Road (entire MT segment)</t>
  </si>
  <si>
    <t>SR-413 (Business RT 1 to New Falls Rd)</t>
  </si>
  <si>
    <t>Durham Road (Penndel to New Falls Rd)</t>
  </si>
  <si>
    <t>Add sidewalks in Summit Trace Neighborhood (ROW + Construction)</t>
  </si>
  <si>
    <t>Add sidewalks on segements of Woodbourne Road (ROW + Construction)</t>
  </si>
  <si>
    <t>Sharrow Addition</t>
  </si>
  <si>
    <t>Add Sharrows to Old Lincoln Highway &amp; Gillam</t>
  </si>
  <si>
    <t>Signal Retiming</t>
  </si>
  <si>
    <t>Study 4 intersections/year and implement retiming if needed</t>
  </si>
  <si>
    <t>Solar Panels at DPW</t>
  </si>
  <si>
    <t>Reduced energy consumption, PECO credit, SRECs</t>
  </si>
  <si>
    <t>Solar Panels at Senior Center (tandem with new roof)</t>
  </si>
  <si>
    <t>WRPP&amp;DEPGG</t>
  </si>
  <si>
    <t>C-Top, M-Top, and Levittown-Tops</t>
  </si>
  <si>
    <t>Mill Creek Streambank Restoration</t>
  </si>
  <si>
    <t>Langhorne Gables</t>
  </si>
  <si>
    <t>PA H20/Flood Mitigation</t>
  </si>
  <si>
    <t>S. Flowers Mill</t>
  </si>
  <si>
    <t>25: Relocate flashing signal from LYR; 26: Study and 27: implement solution to low clearance rail bridge</t>
  </si>
  <si>
    <t>MC</t>
  </si>
  <si>
    <t>Net of Big Grants</t>
  </si>
  <si>
    <t>Possible Grants</t>
  </si>
  <si>
    <t>CAPITAL NET</t>
  </si>
  <si>
    <t>B&amp;G</t>
  </si>
  <si>
    <t>B&amp;Z</t>
  </si>
  <si>
    <t>Fire</t>
  </si>
  <si>
    <t>IT</t>
  </si>
  <si>
    <t>P&amp;R</t>
  </si>
  <si>
    <t>DPW</t>
  </si>
  <si>
    <t>Transport.</t>
  </si>
  <si>
    <t>NO GRANTS</t>
  </si>
  <si>
    <t>EARNED GRANTS</t>
  </si>
  <si>
    <t>POSSIBLE/APPLIED FOR GRANTS</t>
  </si>
  <si>
    <t>Mission Critical TOTAL</t>
  </si>
  <si>
    <t>Mission Critical No Grants</t>
  </si>
  <si>
    <t>Due From Other Funds</t>
  </si>
  <si>
    <t>Grant-Funded Project Total</t>
  </si>
  <si>
    <t>Grant Share</t>
  </si>
  <si>
    <t>Twp Match Share</t>
  </si>
  <si>
    <t>Grant Contingent (Proj. Total)</t>
  </si>
  <si>
    <t>Other Grant Share</t>
  </si>
  <si>
    <t>NOT Mission Critical TOTAL</t>
  </si>
  <si>
    <t>NOT Mission Critical No Grants</t>
  </si>
  <si>
    <t>Pool Filter Replacement</t>
  </si>
  <si>
    <t>Replace oldest pool filter from 1981</t>
  </si>
  <si>
    <t>Park and Rec</t>
  </si>
  <si>
    <t>Pool Heater Replacement</t>
  </si>
  <si>
    <t>Kids Kingdom Design</t>
  </si>
  <si>
    <t>Trail Maintenance</t>
  </si>
  <si>
    <t>Park and Recreation</t>
  </si>
  <si>
    <t>Pool</t>
  </si>
  <si>
    <t>Pool Security Cameras</t>
  </si>
  <si>
    <t>Monica Tierney</t>
  </si>
  <si>
    <t>P&amp;R Fee in Lieu of Fund</t>
  </si>
  <si>
    <t>22 Years</t>
  </si>
  <si>
    <t>Bar Renovation</t>
  </si>
  <si>
    <t>Golf</t>
  </si>
  <si>
    <t>Golf Fund</t>
  </si>
  <si>
    <t>Derek Fuller</t>
  </si>
  <si>
    <t>Big Oak/Pine Grove Intersection Imprv</t>
  </si>
  <si>
    <t>Woodside Road Bike Path</t>
  </si>
  <si>
    <t>Taylorsville Road Curb and Sidewalk</t>
  </si>
  <si>
    <t>Roadway Improvement Fund</t>
  </si>
  <si>
    <t>Replace 1 set of Pool Security Cameras</t>
  </si>
  <si>
    <t>Mike Attara</t>
  </si>
  <si>
    <t>Total</t>
  </si>
  <si>
    <t>John Deere - Z-Turn Mower 960M</t>
  </si>
  <si>
    <t>Equipment Attachments</t>
  </si>
  <si>
    <t>New Equipment</t>
  </si>
  <si>
    <t>Park and Recreation Fund</t>
  </si>
  <si>
    <t>PRP Project 1 Area D - Core Creek Water Shed</t>
  </si>
  <si>
    <t>2016 Bond/Special Projects Fund</t>
  </si>
  <si>
    <t xml:space="preserve">General Fund </t>
  </si>
  <si>
    <t>Mastic Crack/Pothole Filler</t>
  </si>
  <si>
    <t>Replace 2018 Hustler Z-Turn</t>
  </si>
  <si>
    <t>Replace Unit 301 - 2008 GMC 5500 Dump Truck</t>
  </si>
  <si>
    <t>Replace Unit 305 - 2008 International 6-Wheel Dump</t>
  </si>
  <si>
    <t>Liquid Fuels Fund</t>
  </si>
  <si>
    <t>Road Machinery Fund</t>
  </si>
  <si>
    <t>2022 - 6-Wheel Dump Truck (311)</t>
  </si>
  <si>
    <t>2023 - 6-Wheel Dump Truck (315)</t>
  </si>
  <si>
    <t>2024 - Small Dump (308) (1 Payments '24)*</t>
  </si>
  <si>
    <t>Patterson Farm Building Improvements</t>
  </si>
  <si>
    <t>Grant/Pool</t>
  </si>
  <si>
    <t>2016 Bond/Patterson Farm Fund</t>
  </si>
  <si>
    <t>Awarded</t>
  </si>
  <si>
    <t>Patterson Farm Painting</t>
  </si>
  <si>
    <t>Tub Grinder</t>
  </si>
  <si>
    <t>Excavator</t>
  </si>
  <si>
    <t xml:space="preserve">Pollution Reduction Plan </t>
  </si>
  <si>
    <t>Storm Sewer Drains</t>
  </si>
  <si>
    <t>Account</t>
  </si>
  <si>
    <t>15-452-700</t>
  </si>
  <si>
    <t>09-452-700</t>
  </si>
  <si>
    <t>06-454-700</t>
  </si>
  <si>
    <t>05-470-351</t>
  </si>
  <si>
    <t>19-430-700</t>
  </si>
  <si>
    <t>19-436-700</t>
  </si>
  <si>
    <t>01-436-220</t>
  </si>
  <si>
    <t>35-430-700</t>
  </si>
  <si>
    <t>36-430-351</t>
  </si>
  <si>
    <t>2025 Budget</t>
  </si>
  <si>
    <t>2025 Actuals</t>
  </si>
  <si>
    <t xml:space="preserve">DVPLT and DVWCT Grants </t>
  </si>
  <si>
    <t>Statewide Local Share Grant</t>
  </si>
  <si>
    <t>ARLE Grant</t>
  </si>
  <si>
    <t>Green Light Go Grant</t>
  </si>
  <si>
    <t>Growing Greener Grant - PRP by Febuary 18, ,2027,  January 24, 2028</t>
  </si>
  <si>
    <t xml:space="preserve">PA Small Water Grant </t>
  </si>
  <si>
    <t>09-357-011</t>
  </si>
  <si>
    <t>19-354-030</t>
  </si>
  <si>
    <t>Grant Budget</t>
  </si>
  <si>
    <t>Grant Actuals</t>
  </si>
  <si>
    <t>Grant Projected</t>
  </si>
  <si>
    <t>Greenways Trail - 5 Mile Wood</t>
  </si>
  <si>
    <t>45-461-700</t>
  </si>
  <si>
    <t>42-430-700</t>
  </si>
  <si>
    <t>Patterson Farm</t>
  </si>
  <si>
    <t>While the original budget was over the grant amount we are adjusting to try to keep the project under the no match DCED amount of $900,000</t>
  </si>
  <si>
    <t>Getting quotes for materials</t>
  </si>
  <si>
    <t>Construction Awarded by BOS</t>
  </si>
  <si>
    <t>Awaiting Ground Breaking (~8/4), CO No. 1 for BOS approval next meeting (Rebar added in curb).</t>
  </si>
  <si>
    <t>Design/Permitting with RVE - 90%</t>
  </si>
  <si>
    <t>DCED Grant - Deadline Jun - 2026 - No Match</t>
  </si>
  <si>
    <t>05-354-011</t>
  </si>
  <si>
    <t>05-454-700</t>
  </si>
  <si>
    <t>Bunker Reno</t>
  </si>
  <si>
    <t>9th hole pond lined and dredged</t>
  </si>
  <si>
    <t>New well on 15</t>
  </si>
  <si>
    <t>Pond dredge and lined</t>
  </si>
  <si>
    <t>add a new well on hole 15 to tie to pond on 9</t>
  </si>
  <si>
    <t>Water service for pond</t>
  </si>
  <si>
    <t>eliminate sewer charges</t>
  </si>
  <si>
    <t>Complete fairway bunkers</t>
  </si>
  <si>
    <t>Driving Range Field Work</t>
  </si>
  <si>
    <t>Regrade the range</t>
  </si>
  <si>
    <t>Cover the Tees</t>
  </si>
  <si>
    <t>Cover the range 6 stalls</t>
  </si>
  <si>
    <t>Cart path improvements</t>
  </si>
  <si>
    <t>Cart path improvements annually</t>
  </si>
  <si>
    <t>Cardinal Court Repair with Sound Barriers</t>
  </si>
  <si>
    <t>Replace and Upgrade Duty Weapons on regular interval</t>
  </si>
  <si>
    <t>TBD</t>
  </si>
  <si>
    <t>Hilghman</t>
  </si>
  <si>
    <t>6-10 years</t>
  </si>
  <si>
    <t>After application of donation and sell back, total is $34,814</t>
  </si>
  <si>
    <t xml:space="preserve">Computers </t>
  </si>
  <si>
    <t>Computers</t>
  </si>
  <si>
    <t>19-407-700</t>
  </si>
  <si>
    <t>Highland Drive</t>
  </si>
  <si>
    <t xml:space="preserve">Stormwater PRP </t>
  </si>
  <si>
    <t>Stormwater PRP Design</t>
  </si>
  <si>
    <t>Zero Turn Mower Replacement</t>
  </si>
  <si>
    <t>01-436-700</t>
  </si>
  <si>
    <t>2025 - Small Dump Truck</t>
  </si>
  <si>
    <t>Small Dump Truck (301)</t>
  </si>
  <si>
    <t>2025 - Large Dump Truck</t>
  </si>
  <si>
    <t>Large Dump Truck (305)</t>
  </si>
  <si>
    <t>Mastic Crack/Pothole Filler - Marathon MM250DT</t>
  </si>
  <si>
    <t>2025 - P/U 3500 Crew Cab Pickup Truck (318)</t>
  </si>
  <si>
    <t>P/U - 3500 Crew Cab Pickup Truck Lease</t>
  </si>
  <si>
    <t>2025 -Small Dump Truck (602)</t>
  </si>
  <si>
    <t>Small Dump Truck Lease (602)</t>
  </si>
  <si>
    <t>2022 - 6-Wheel Dump Truck (311) Lease</t>
  </si>
  <si>
    <t>2023 - 6-Wheel Dump Truck (315) Lease</t>
  </si>
  <si>
    <t>2024 - Small Dump (308) (1 Payments '24) Lease</t>
  </si>
  <si>
    <t>Big Oak/Makefield Intersection Imprv</t>
  </si>
  <si>
    <t>Taylorsville Rd &amp; Woodside Road</t>
  </si>
  <si>
    <t>Trail Connection Crossing Taylorsville Road</t>
  </si>
  <si>
    <t>Tub Grinder - Morbark 1100</t>
  </si>
  <si>
    <t>Excavator - Volvo EC140</t>
  </si>
  <si>
    <t>2026 - Large Dump Truck</t>
  </si>
  <si>
    <t>310 - 2009 6-Whl Dump</t>
  </si>
  <si>
    <t>2026 - Wood Chipper</t>
  </si>
  <si>
    <t>1995 Banit 250XP Wood Chipper</t>
  </si>
  <si>
    <t>2026 - P/U 3500 Crew Cab w/Utility &amp; Plow</t>
  </si>
  <si>
    <t>322 - 2011 P/U GMC Sierra 3500 Utility Body (3 of 20 '26)</t>
  </si>
  <si>
    <t>2026 - P/U 3500 Crew Cab w/Plow</t>
  </si>
  <si>
    <t>326 - 2015 P/U GMC Sierra 3500 Crew Cab (3 of 20 '26)</t>
  </si>
  <si>
    <t>2027 - Large Dump Truck</t>
  </si>
  <si>
    <t>304 - 2009 6-Whl Dump (3 Payment '27)</t>
  </si>
  <si>
    <t>2007 Boom Mower</t>
  </si>
  <si>
    <t>2008 - Crack Sealer</t>
  </si>
  <si>
    <t>1998 Craftco Crack Sealer (3 Payment '28)</t>
  </si>
  <si>
    <t>2026 - Road Paving Program</t>
  </si>
  <si>
    <t>Raise Millage to Maximum</t>
  </si>
  <si>
    <t>2027 - Road Paving Program</t>
  </si>
  <si>
    <t>2028 - Road Paving Program</t>
  </si>
  <si>
    <t>2029 - Road Paving Program</t>
  </si>
  <si>
    <t>Township Building - Generator Replacement</t>
  </si>
  <si>
    <t>Township Building - Admin HVAC Replacement</t>
  </si>
  <si>
    <t>Township Building - Roof Replacement</t>
  </si>
  <si>
    <t>Township Building - Access Control &amp; Camera Upgrades</t>
  </si>
  <si>
    <t>Township Building - Upgrades</t>
  </si>
  <si>
    <t>Township Building - Oil Tank Removal</t>
  </si>
  <si>
    <t>Public Works - Garage Heater Replacement</t>
  </si>
  <si>
    <t>Public Works - Pole Barn Repairs</t>
  </si>
  <si>
    <t>Public Works - Garage Truck Lift Replacement</t>
  </si>
  <si>
    <t>Public Works - Garage Additional Bathroom/Locker</t>
  </si>
  <si>
    <t>Public Works - Garage Additional Heater Storage</t>
  </si>
  <si>
    <t>Public Works - Additional Salt Dome</t>
  </si>
  <si>
    <t>Public Works - Roof Replacement</t>
  </si>
  <si>
    <t>Public Works - Fuel System Replacement (Tanks &amp; Pumps)</t>
  </si>
  <si>
    <t>Bridge Improvements - Sandy Run Road over Brock Creek</t>
  </si>
  <si>
    <t>Bridge Improvements - Makefield Road over Rock Run</t>
  </si>
  <si>
    <t>Bridge Improvements - Derbyshire Road over Rock Run</t>
  </si>
  <si>
    <t>Bridge Improvements - Schultz Lane over Buck Creek</t>
  </si>
  <si>
    <t>Bridge Improvements - Quarry Road over Core Creek</t>
  </si>
  <si>
    <t>Dam Improvements - Makefield Chase Basin</t>
  </si>
  <si>
    <t>Leaf Collection Equipment - Unit is 2004</t>
  </si>
  <si>
    <t>Leaf Collection Equipment - Unit is 2008</t>
  </si>
  <si>
    <t>Heacock Medows (Cardinal/Finch) Basketball Court Replacement</t>
  </si>
  <si>
    <t>Memorial Park Basketball Court Minor Crack Repair</t>
  </si>
  <si>
    <t>Heacock Medows (Cardinal/Finch) Pickleball/Tennis Court Minor Crack Repair</t>
  </si>
  <si>
    <t>Schuyler Tennis Court Minor Crack Repair</t>
  </si>
  <si>
    <t>Pool Heater Replacements</t>
  </si>
  <si>
    <t>Handgun Replacement and Ammunition</t>
  </si>
  <si>
    <t>$12,000 and $44,581 Donation</t>
  </si>
  <si>
    <t>2026 - 3 Explorers Upfitted, No Lease Term Ends</t>
  </si>
  <si>
    <t>2027 - 4 Explorers Upfitted (K9), 7 lease terminations</t>
  </si>
  <si>
    <t>2028 - 3 Explorers Upfitted, 6 Leases Terminated</t>
  </si>
  <si>
    <t>2029 - 3 Explorers Upfitted, 2 Leases Terminated</t>
  </si>
  <si>
    <t>9/11 Lights, Benches, Walkway, Fountain</t>
  </si>
  <si>
    <t>41-454-700</t>
  </si>
  <si>
    <t xml:space="preserve">Traffic Signal Improvements </t>
  </si>
  <si>
    <t xml:space="preserve">Garden of Reflection Memorial Improvements </t>
  </si>
  <si>
    <t>Golf Fund and Golf Capital</t>
  </si>
  <si>
    <t>ASK Technology</t>
  </si>
  <si>
    <t xml:space="preserve">PECO Green Region Grant - Deadline Dec - 2026 </t>
  </si>
  <si>
    <t>Grant/Garden of Refelction Capital Fund</t>
  </si>
  <si>
    <t>19-410-700</t>
  </si>
  <si>
    <t xml:space="preserve">Donation </t>
  </si>
  <si>
    <t>Donation</t>
  </si>
  <si>
    <t>01-410-700</t>
  </si>
  <si>
    <t>11-439-700 
19-430-700</t>
  </si>
  <si>
    <t xml:space="preserve">Awarded </t>
  </si>
  <si>
    <t>Grant/Traffic Impact Fund/Special Projects Fund</t>
  </si>
  <si>
    <t>Baby Pool</t>
  </si>
  <si>
    <t>Lynn Todd/Derek Fuller</t>
  </si>
  <si>
    <t>36-430-700</t>
  </si>
  <si>
    <t>Check</t>
  </si>
  <si>
    <t>All Sheets Total</t>
  </si>
  <si>
    <t xml:space="preserve">Beverage Cart </t>
  </si>
  <si>
    <t>Basketball Mill and Pave P1/P2</t>
  </si>
  <si>
    <t>Keystone Sports Construction Basketball Mill and Pave P1/P2</t>
  </si>
  <si>
    <t>Golf Carts</t>
  </si>
  <si>
    <t xml:space="preserve">Macclesfield Park Master Plan </t>
  </si>
  <si>
    <t>07-454-313</t>
  </si>
  <si>
    <t xml:space="preserve">DCED MTF Grant - June 30, 2028 final date for reimbursement, TSA Grant </t>
  </si>
  <si>
    <t>2026 Actuals</t>
  </si>
  <si>
    <t>ARLE Intersection</t>
  </si>
  <si>
    <t>% Complete</t>
  </si>
  <si>
    <t>2026 - 5 CID Upfits</t>
  </si>
  <si>
    <t>N/A</t>
  </si>
  <si>
    <t>2026 Budget</t>
  </si>
  <si>
    <t>2027 Budget</t>
  </si>
  <si>
    <t>2028 Budget</t>
  </si>
  <si>
    <t>2029 Budget</t>
  </si>
  <si>
    <t>2026 Projection</t>
  </si>
  <si>
    <t>2030 Budget</t>
  </si>
  <si>
    <t>2025 - Road Paving Program</t>
  </si>
  <si>
    <t>1425 River Road</t>
  </si>
  <si>
    <t>House Elevation Project</t>
  </si>
  <si>
    <t>Planning and Zoning</t>
  </si>
  <si>
    <t>01-414-700</t>
  </si>
  <si>
    <t>FEMA Flood Mitigation Assistant</t>
  </si>
  <si>
    <t>01-351-121</t>
  </si>
  <si>
    <t>Dan McCloone</t>
  </si>
  <si>
    <t>A private stormwater flood mitigation project. A wash for the township.</t>
  </si>
  <si>
    <t>Cars</t>
  </si>
  <si>
    <t>2027 - LIVESCAN (Fingerprinting) Mandatory Upgrade</t>
  </si>
  <si>
    <t>Replace LIVESCAN Fingerprint Unit due to end of service life</t>
  </si>
  <si>
    <t>01-410-260</t>
  </si>
  <si>
    <t>Omlor</t>
  </si>
  <si>
    <t>General Fund/Booking Fees</t>
  </si>
  <si>
    <t>Necessary to continue booking center operation</t>
  </si>
  <si>
    <t>Surveillance Camera System Replacement - Police HQ</t>
  </si>
  <si>
    <t>Replace aging surveillance system at Police HQ and exterior of Admin Bldg</t>
  </si>
  <si>
    <t>01-410-450</t>
  </si>
  <si>
    <t>Contracted Service</t>
  </si>
  <si>
    <t>6 -10 years</t>
  </si>
  <si>
    <t>General Fund</t>
  </si>
  <si>
    <t>Existing system near end of service life/old technology</t>
  </si>
  <si>
    <t>2027 -  Speed Sign/Message Board Upgrade/Replacement</t>
  </si>
  <si>
    <t>Replace aging speed sign with upgraded, enhanced model</t>
  </si>
  <si>
    <t>10 years</t>
  </si>
  <si>
    <t>Existing equipment near end of life; new equipment increases/enhances capability</t>
  </si>
  <si>
    <t>Pending - Decision December 2026</t>
  </si>
  <si>
    <t>Applied for PCCD grant which if approved, would provide funding for 21 portable radios at $184,086</t>
  </si>
  <si>
    <t>01-354-020</t>
  </si>
  <si>
    <t>Reeves</t>
  </si>
  <si>
    <t>Communication</t>
  </si>
  <si>
    <t>15-20 years</t>
  </si>
  <si>
    <t>Current equipment is end of service life and without support</t>
  </si>
  <si>
    <t>21 Rifles</t>
  </si>
  <si>
    <t>01-410-191</t>
  </si>
  <si>
    <t>Ended up donating to the foundation and paying out of the foundation</t>
  </si>
  <si>
    <t>Foundation</t>
  </si>
  <si>
    <t>Equipment necessary for patrol Change to 9mm with Pistol Mounted optic with greater accuracy.</t>
  </si>
  <si>
    <t>Olympic</t>
  </si>
  <si>
    <t>2026 - 2 Explorers Upfitted, 1 Tahoe Uplifted, No Lease Term Ends</t>
  </si>
  <si>
    <t>2026 - 4 CID Upfits</t>
  </si>
  <si>
    <t>2027 - 3 Explorers Upfitted (K9), 1 Tahoe Upfitted, 7 lease terminations &amp; 4 Cmd Upfits</t>
  </si>
  <si>
    <t xml:space="preserve">2028 - Rifle Replacement </t>
  </si>
  <si>
    <t>Applied for PCCD grant which if approved, would provide funding for MDTs $61,000</t>
  </si>
  <si>
    <t>Deck Replacement</t>
  </si>
  <si>
    <t>Maintenance</t>
  </si>
  <si>
    <t>2026 Server Project</t>
  </si>
  <si>
    <t>Future Open Space Acquisition (1377 Woodside Road)</t>
  </si>
  <si>
    <t>Open Space</t>
  </si>
  <si>
    <t>19-461-700</t>
  </si>
  <si>
    <t xml:space="preserve">Police Radio Upgrade </t>
  </si>
  <si>
    <t>19-354-020</t>
  </si>
  <si>
    <t>2027 IT Firewall, Switches, and Access Points</t>
  </si>
  <si>
    <t>Bond Fund and General Fund</t>
  </si>
  <si>
    <t>Special Projects Fund and Bond Fund</t>
  </si>
  <si>
    <t>2027 IT Firewall, Switches, and Access Points - Admin Building</t>
  </si>
  <si>
    <t>2027 IT Firewall, Switches, and Access Points - P&amp;R</t>
  </si>
  <si>
    <t>2027 IT Firewall, Switches, and Access Points - Pool</t>
  </si>
  <si>
    <t>05-409-450</t>
  </si>
  <si>
    <t>09-452-450</t>
  </si>
  <si>
    <t>Upgrade Deck to Composite</t>
  </si>
  <si>
    <t>Clubhouse improvements windows/paint/roof</t>
  </si>
  <si>
    <t>Update failing windows, paint and roof.</t>
  </si>
  <si>
    <t>Pool Diving Board - Spring Board Replacement</t>
  </si>
  <si>
    <t>Replacement of the Existing Spring Board Diving Board</t>
  </si>
  <si>
    <t>Pool Sewer Pump Station Upgrades</t>
  </si>
  <si>
    <t>Upgrades &amp; Repairs to Sewage Pump Station at the Pool</t>
  </si>
  <si>
    <t>Pool Slide Replacement/Upgrade Project</t>
  </si>
  <si>
    <t>Evaluatation and Replacement/Upgrades to Pool Slides (Multi-Year Project)</t>
  </si>
  <si>
    <t>Cardinal Courts - Additional Pedestrian Access</t>
  </si>
  <si>
    <t>Installation of Additional Sidewalk &amp; Necessary Steps</t>
  </si>
  <si>
    <t>Bike Path Trail Maintenance Program</t>
  </si>
  <si>
    <t>Reoccuring Maintenance, Rehabilitation, Reconstruction of Existing Bike Path Network - Including ADA Enhancements at Curb Ramps</t>
  </si>
  <si>
    <t>Community Courts Replacement Project - Engineering/Design</t>
  </si>
  <si>
    <t>Kids Kingdom Playground Recontruction</t>
  </si>
  <si>
    <t>Reconstruction of Kids Kingdom Playground Including Bathroom Building Renovations</t>
  </si>
  <si>
    <t>Macclesfield Park LED Field Lighting Upgrades</t>
  </si>
  <si>
    <t>Macclesfield Park LED Lighting Ugrades - Update Exisiting System to LEDs &amp; New Controllers for all Existing Field Lights</t>
  </si>
  <si>
    <t>Macclesfield Park Baseball Field Rehabilitations</t>
  </si>
  <si>
    <t>Macclesfield Park Baseball Field Rehabiliation - Fencing, Dugouts, Infields</t>
  </si>
  <si>
    <t xml:space="preserve">Community Courts Replacement Project - Construction </t>
  </si>
  <si>
    <t>Community Courts Complete Rehabilitation Project - Construction</t>
  </si>
  <si>
    <t>Community Park LED Field Lighting Upgrades</t>
  </si>
  <si>
    <t>Community Park LED Lighting Ugrades - Update Exisiting System to LEDs &amp; New Controllers for Softball, Tennis/Pickleball, Basketball</t>
  </si>
  <si>
    <t>John Deere - Wide Area Mower 1300 - Replacement</t>
  </si>
  <si>
    <t>John Deere - Wide Area Mower 1300 - Replacing Existing 2018 WAM (Lease 20 Payments)</t>
  </si>
  <si>
    <t>Pool ADA Pool Access Lift Replacements</t>
  </si>
  <si>
    <t>Replacement of 2x Exising ADA Chair Lifts</t>
  </si>
  <si>
    <t>Pool Building Facility Upgrades - Design &amp; Reconstruction Project</t>
  </si>
  <si>
    <t>Design &amp; Reconstruction of the Restroom's and Pool Facility Buildings Including ADA Improvements, Roofing, HVAC</t>
  </si>
  <si>
    <t xml:space="preserve">Pool &amp; Community Park Parking Lot Repaving </t>
  </si>
  <si>
    <t>Repaving of Existing Parking Lot (Stormwater Management Improvements?)</t>
  </si>
  <si>
    <t>Park and Rec/Pool</t>
  </si>
  <si>
    <t>Field Tractor Replacement</t>
  </si>
  <si>
    <t>Replacement of Existing 2003 Field Tractor</t>
  </si>
  <si>
    <t>Schuyler Courts Minor Crack Repair</t>
  </si>
  <si>
    <t>Dog Park Fence Replacement</t>
  </si>
  <si>
    <t>Replacement of Perimeter Fencing at Dog Park</t>
  </si>
  <si>
    <t>Cardinal Courts Minor Crack Repair</t>
  </si>
  <si>
    <t xml:space="preserve">Tk 604 - Replacement </t>
  </si>
  <si>
    <t>Tk 604 - Replacing of 2011 GMC 2500 P/U w/Plow (Lease 20 Payments)</t>
  </si>
  <si>
    <t>Tk 602 - Replacement (Landscape/Stake Body)</t>
  </si>
  <si>
    <t>Tk 602 - Replacing 2006 Dump Truck w/Plow (Lease 20 Payments)</t>
  </si>
  <si>
    <t>Small Loader/Backhoe - 6E03 Replacement</t>
  </si>
  <si>
    <t>6E03 - Replacing 2004 John Deere 4710 Loader/Backhoe (Lease 20 Payments)</t>
  </si>
  <si>
    <t>5 Mile Woods Boardwalk Expansion - 2026</t>
  </si>
  <si>
    <t>Tk 600 - Replacement</t>
  </si>
  <si>
    <t>Tk 600 - Existing 2015 GMC 3500 Crew Cab P/U w/Plow &amp; Cap (Lease 20 Payments)</t>
  </si>
  <si>
    <t>Phase 2 ESA - Engineering/Design/Testing/Removal</t>
  </si>
  <si>
    <t>Patterson Farm Improvement - LSA Grant Design</t>
  </si>
  <si>
    <t>Patterson Farm Improvements - LSA Grant Construction</t>
  </si>
  <si>
    <t>Replacement w/Trade in</t>
  </si>
  <si>
    <t>2029 - Boom Mower</t>
  </si>
  <si>
    <t>Township Complex - Rehabilitation</t>
  </si>
  <si>
    <t>Replaces Items 30-37 &amp; 39-43</t>
  </si>
  <si>
    <t>Public Works - Garage Truck Lift Replacement - WE NEED THIS ASAP</t>
  </si>
  <si>
    <t>Cart Path Pavement Patching</t>
  </si>
  <si>
    <t>Bond Fund - $262,851.81/Remainder debt issued</t>
  </si>
  <si>
    <t>Future Open Space Acquisition (Willard Family Properties)</t>
  </si>
  <si>
    <t>Future Open Space Acquisition (Big Oak Road)</t>
  </si>
  <si>
    <t>Future Open Space Acquisition (Oxford Valley Road)</t>
  </si>
  <si>
    <t>New Debt</t>
  </si>
  <si>
    <t>LSA</t>
  </si>
  <si>
    <t>LSA Grant - Awarded $200,000</t>
  </si>
  <si>
    <t>2028 - Replace TK-101</t>
  </si>
  <si>
    <t>01-430-700</t>
  </si>
  <si>
    <t>19-409-700</t>
  </si>
  <si>
    <t>01-427-700</t>
  </si>
  <si>
    <t>01-438-700</t>
  </si>
  <si>
    <t>Memorial Park Expansion Engineering</t>
  </si>
  <si>
    <t>Memorial Park Expansion Construction</t>
  </si>
  <si>
    <t>Revere Pickleball Park Court Replacement Design</t>
  </si>
  <si>
    <t>Revere Pickleball Park Court Replacement Construction</t>
  </si>
  <si>
    <t>05-454-700
09-452-700</t>
  </si>
  <si>
    <t>06-454-700
05-454-700</t>
  </si>
  <si>
    <t>40-357-011</t>
  </si>
  <si>
    <t>33-446-700</t>
  </si>
  <si>
    <t>33-354-161</t>
  </si>
  <si>
    <t xml:space="preserve">Vehicle </t>
  </si>
  <si>
    <t>Vehicle Description</t>
  </si>
  <si>
    <t>David Kratzer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</si>
</sst>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%"/>
    <numFmt numFmtId="166" formatCode="_(* #,##0_);_(* \(#,##0\);_(* &quot;-&quot;??_);_(@_)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u val="singleAccounting"/>
      <sz val="10"/>
      <color theme="1"/>
      <name val="Calibri"/>
      <family val="2"/>
      <scheme val="minor"/>
    </font>
    <font>
      <u val="singleAccounting"/>
      <sz val="10"/>
      <color rgb="FF000000"/>
      <name val="Calibri"/>
      <family val="2"/>
    </font>
    <font>
      <b/>
      <i/>
      <sz val="10"/>
      <color rgb="FF000000"/>
      <name val="Calibri"/>
      <family val="2"/>
    </font>
    <font>
      <b/>
      <i/>
      <sz val="10"/>
      <color theme="1"/>
      <name val="Calibri"/>
      <family val="2"/>
      <scheme val="minor"/>
    </font>
    <font>
      <sz val="10"/>
      <color theme="0"/>
      <name val="Calibri"/>
      <family val="2"/>
    </font>
    <font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i/>
      <sz val="10"/>
      <color theme="0"/>
      <name val="Calibri"/>
      <family val="2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2"/>
      <name val="Arial MT"/>
    </font>
    <font>
      <sz val="12"/>
      <name val="CG Times"/>
      <family val="1"/>
    </font>
    <font>
      <sz val="12"/>
      <name val="Century Schoolbook"/>
      <family val="1"/>
    </font>
    <font>
      <b/>
      <sz val="20"/>
      <color rgb="FF000000"/>
      <name val="Calibri"/>
      <family val="2"/>
    </font>
    <font>
      <sz val="20"/>
      <color rgb="FF000000"/>
      <name val="Calibri"/>
      <family val="2"/>
    </font>
    <font>
      <sz val="20"/>
      <color theme="1"/>
      <name val="Calibri"/>
      <family val="2"/>
      <scheme val="minor"/>
    </font>
    <font>
      <sz val="20"/>
      <color theme="1"/>
      <name val="Calibri"/>
      <family val="2"/>
    </font>
    <font>
      <sz val="20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ck">
        <color rgb="FF002060"/>
      </left>
      <right/>
      <top style="thick">
        <color rgb="FF002060"/>
      </top>
      <bottom/>
      <diagonal/>
    </border>
    <border>
      <left/>
      <right/>
      <top style="thick">
        <color rgb="FF002060"/>
      </top>
      <bottom/>
      <diagonal/>
    </border>
    <border>
      <left/>
      <right style="thick">
        <color rgb="FF002060"/>
      </right>
      <top style="thick">
        <color rgb="FF002060"/>
      </top>
      <bottom/>
      <diagonal/>
    </border>
    <border>
      <left style="thick">
        <color rgb="FF002060"/>
      </left>
      <right/>
      <top/>
      <bottom/>
      <diagonal/>
    </border>
    <border>
      <left/>
      <right style="thick">
        <color rgb="FF002060"/>
      </right>
      <top/>
      <bottom/>
      <diagonal/>
    </border>
    <border>
      <left style="thick">
        <color rgb="FF002060"/>
      </left>
      <right/>
      <top/>
      <bottom style="thick">
        <color rgb="FF002060"/>
      </bottom>
      <diagonal/>
    </border>
    <border>
      <left/>
      <right/>
      <top/>
      <bottom style="thick">
        <color rgb="FF002060"/>
      </bottom>
      <diagonal/>
    </border>
    <border>
      <left/>
      <right style="thick">
        <color rgb="FF002060"/>
      </right>
      <top/>
      <bottom style="thick">
        <color rgb="FF002060"/>
      </bottom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 style="thick">
        <color rgb="FFC00000"/>
      </right>
      <top/>
      <bottom/>
      <diagonal/>
    </border>
    <border>
      <left style="thick">
        <color rgb="FFC00000"/>
      </left>
      <right style="thick">
        <color rgb="FFC00000"/>
      </right>
      <top/>
      <bottom style="thick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medium">
        <color rgb="FFC00000"/>
      </right>
      <top/>
      <bottom style="thick">
        <color rgb="FFC00000"/>
      </bottom>
      <diagonal/>
    </border>
    <border>
      <left style="thick">
        <color rgb="FFC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002060"/>
      </left>
      <right style="thin">
        <color indexed="64"/>
      </right>
      <top style="thick">
        <color rgb="FF00206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002060"/>
      </top>
      <bottom style="thin">
        <color indexed="64"/>
      </bottom>
      <diagonal/>
    </border>
    <border>
      <left style="thin">
        <color indexed="64"/>
      </left>
      <right style="thick">
        <color rgb="FF002060"/>
      </right>
      <top style="thick">
        <color rgb="FF002060"/>
      </top>
      <bottom style="thin">
        <color indexed="64"/>
      </bottom>
      <diagonal/>
    </border>
    <border>
      <left style="thick">
        <color rgb="FF00206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002060"/>
      </right>
      <top style="thin">
        <color indexed="64"/>
      </top>
      <bottom style="thin">
        <color indexed="64"/>
      </bottom>
      <diagonal/>
    </border>
    <border>
      <left style="thick">
        <color rgb="FF002060"/>
      </left>
      <right style="thin">
        <color indexed="64"/>
      </right>
      <top style="thin">
        <color indexed="64"/>
      </top>
      <bottom style="thick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002060"/>
      </bottom>
      <diagonal/>
    </border>
    <border>
      <left style="thin">
        <color indexed="64"/>
      </left>
      <right style="thick">
        <color rgb="FF002060"/>
      </right>
      <top style="thin">
        <color indexed="64"/>
      </top>
      <bottom style="thick">
        <color rgb="FF002060"/>
      </bottom>
      <diagonal/>
    </border>
    <border>
      <left style="thick">
        <color rgb="FF00206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37" fontId="25" fillId="0" borderId="0"/>
    <xf numFmtId="0" fontId="26" fillId="0" borderId="0"/>
    <xf numFmtId="37" fontId="27" fillId="0" borderId="0"/>
  </cellStyleXfs>
  <cellXfs count="359">
    <xf numFmtId="0" fontId="0" fillId="0" borderId="0" xfId="0"/>
    <xf numFmtId="0" fontId="12" fillId="0" borderId="0" xfId="2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2" applyFont="1" applyAlignment="1">
      <alignment horizontal="center" vertical="center" wrapText="1"/>
    </xf>
    <xf numFmtId="42" fontId="13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5" fillId="0" borderId="0" xfId="2" applyFont="1" applyAlignment="1">
      <alignment vertical="center"/>
    </xf>
    <xf numFmtId="0" fontId="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15" fillId="0" borderId="0" xfId="2" applyFont="1" applyAlignment="1">
      <alignment horizontal="center" vertical="center" wrapText="1"/>
    </xf>
    <xf numFmtId="0" fontId="11" fillId="0" borderId="0" xfId="2" applyFont="1" applyAlignment="1">
      <alignment horizontal="center" vertical="center"/>
    </xf>
    <xf numFmtId="42" fontId="16" fillId="0" borderId="0" xfId="1" applyNumberFormat="1" applyFont="1" applyAlignment="1">
      <alignment vertical="center"/>
    </xf>
    <xf numFmtId="42" fontId="19" fillId="0" borderId="0" xfId="1" applyNumberFormat="1" applyFont="1" applyAlignment="1">
      <alignment vertical="center"/>
    </xf>
    <xf numFmtId="44" fontId="9" fillId="0" borderId="0" xfId="1" applyFont="1" applyAlignment="1">
      <alignment vertical="center"/>
    </xf>
    <xf numFmtId="164" fontId="9" fillId="0" borderId="0" xfId="0" applyNumberFormat="1" applyFont="1" applyAlignment="1">
      <alignment vertical="center"/>
    </xf>
    <xf numFmtId="42" fontId="9" fillId="0" borderId="0" xfId="0" applyNumberFormat="1" applyFont="1" applyAlignment="1">
      <alignment vertical="center"/>
    </xf>
    <xf numFmtId="164" fontId="9" fillId="0" borderId="0" xfId="1" applyNumberFormat="1" applyFont="1" applyAlignment="1">
      <alignment vertical="center"/>
    </xf>
    <xf numFmtId="0" fontId="10" fillId="2" borderId="4" xfId="2" applyFont="1" applyFill="1" applyBorder="1" applyAlignment="1">
      <alignment horizontal="center" vertical="center" wrapText="1"/>
    </xf>
    <xf numFmtId="0" fontId="10" fillId="2" borderId="0" xfId="2" applyFont="1" applyFill="1" applyAlignment="1">
      <alignment horizontal="center" vertical="center" wrapText="1"/>
    </xf>
    <xf numFmtId="0" fontId="10" fillId="2" borderId="0" xfId="3" applyNumberFormat="1" applyFont="1" applyFill="1" applyBorder="1" applyAlignment="1">
      <alignment horizontal="center" vertical="center" wrapText="1"/>
    </xf>
    <xf numFmtId="164" fontId="10" fillId="2" borderId="0" xfId="1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4" xfId="2" applyFont="1" applyFill="1" applyBorder="1" applyAlignment="1">
      <alignment vertical="center" wrapText="1"/>
    </xf>
    <xf numFmtId="164" fontId="8" fillId="2" borderId="0" xfId="1" applyNumberFormat="1" applyFont="1" applyFill="1" applyBorder="1" applyAlignment="1">
      <alignment horizontal="center" vertical="center" wrapText="1"/>
    </xf>
    <xf numFmtId="0" fontId="10" fillId="2" borderId="0" xfId="2" applyFont="1" applyFill="1" applyAlignment="1">
      <alignment horizontal="center" vertical="center"/>
    </xf>
    <xf numFmtId="0" fontId="10" fillId="2" borderId="5" xfId="2" applyFont="1" applyFill="1" applyBorder="1" applyAlignment="1">
      <alignment horizontal="center" vertical="center"/>
    </xf>
    <xf numFmtId="0" fontId="12" fillId="0" borderId="4" xfId="2" applyFont="1" applyBorder="1" applyAlignment="1">
      <alignment vertical="center"/>
    </xf>
    <xf numFmtId="0" fontId="12" fillId="0" borderId="0" xfId="2" applyFont="1" applyAlignment="1">
      <alignment horizontal="center" vertical="center" wrapText="1"/>
    </xf>
    <xf numFmtId="42" fontId="9" fillId="0" borderId="0" xfId="1" applyNumberFormat="1" applyFont="1" applyFill="1" applyBorder="1" applyAlignment="1">
      <alignment vertical="center"/>
    </xf>
    <xf numFmtId="42" fontId="12" fillId="0" borderId="5" xfId="1" applyNumberFormat="1" applyFont="1" applyBorder="1" applyAlignment="1">
      <alignment vertical="center"/>
    </xf>
    <xf numFmtId="0" fontId="12" fillId="3" borderId="4" xfId="2" applyFont="1" applyFill="1" applyBorder="1" applyAlignment="1">
      <alignment vertical="center"/>
    </xf>
    <xf numFmtId="0" fontId="12" fillId="3" borderId="0" xfId="2" applyFont="1" applyFill="1" applyAlignment="1">
      <alignment horizontal="center" vertical="center" wrapText="1"/>
    </xf>
    <xf numFmtId="42" fontId="9" fillId="3" borderId="0" xfId="1" applyNumberFormat="1" applyFont="1" applyFill="1" applyBorder="1" applyAlignment="1">
      <alignment vertical="center"/>
    </xf>
    <xf numFmtId="42" fontId="12" fillId="3" borderId="5" xfId="1" applyNumberFormat="1" applyFont="1" applyFill="1" applyBorder="1" applyAlignment="1">
      <alignment vertical="center"/>
    </xf>
    <xf numFmtId="42" fontId="13" fillId="0" borderId="0" xfId="1" applyNumberFormat="1" applyFont="1" applyBorder="1" applyAlignment="1">
      <alignment vertical="center"/>
    </xf>
    <xf numFmtId="42" fontId="13" fillId="0" borderId="0" xfId="1" applyNumberFormat="1" applyFont="1" applyFill="1" applyBorder="1" applyAlignment="1">
      <alignment vertical="center"/>
    </xf>
    <xf numFmtId="42" fontId="14" fillId="0" borderId="5" xfId="1" applyNumberFormat="1" applyFont="1" applyBorder="1" applyAlignment="1">
      <alignment vertical="center"/>
    </xf>
    <xf numFmtId="0" fontId="15" fillId="3" borderId="4" xfId="2" applyFont="1" applyFill="1" applyBorder="1" applyAlignment="1">
      <alignment vertical="center"/>
    </xf>
    <xf numFmtId="0" fontId="15" fillId="3" borderId="0" xfId="2" applyFont="1" applyFill="1" applyAlignment="1">
      <alignment horizontal="center" vertical="center" wrapText="1"/>
    </xf>
    <xf numFmtId="42" fontId="16" fillId="3" borderId="0" xfId="1" applyNumberFormat="1" applyFont="1" applyFill="1" applyBorder="1" applyAlignment="1">
      <alignment vertical="center"/>
    </xf>
    <xf numFmtId="42" fontId="16" fillId="3" borderId="5" xfId="1" applyNumberFormat="1" applyFont="1" applyFill="1" applyBorder="1" applyAlignment="1">
      <alignment vertical="center"/>
    </xf>
    <xf numFmtId="0" fontId="10" fillId="2" borderId="4" xfId="2" applyFont="1" applyFill="1" applyBorder="1" applyAlignment="1">
      <alignment vertical="center"/>
    </xf>
    <xf numFmtId="0" fontId="17" fillId="2" borderId="0" xfId="2" applyFont="1" applyFill="1" applyAlignment="1">
      <alignment horizontal="center" vertical="center" wrapText="1"/>
    </xf>
    <xf numFmtId="42" fontId="17" fillId="2" borderId="0" xfId="1" applyNumberFormat="1" applyFont="1" applyFill="1" applyBorder="1" applyAlignment="1">
      <alignment vertical="center"/>
    </xf>
    <xf numFmtId="42" fontId="18" fillId="2" borderId="0" xfId="1" applyNumberFormat="1" applyFont="1" applyFill="1" applyBorder="1" applyAlignment="1">
      <alignment vertical="center"/>
    </xf>
    <xf numFmtId="42" fontId="17" fillId="2" borderId="5" xfId="1" applyNumberFormat="1" applyFont="1" applyFill="1" applyBorder="1" applyAlignment="1">
      <alignment vertical="center"/>
    </xf>
    <xf numFmtId="42" fontId="14" fillId="0" borderId="0" xfId="1" applyNumberFormat="1" applyFont="1" applyBorder="1" applyAlignment="1">
      <alignment vertical="center"/>
    </xf>
    <xf numFmtId="42" fontId="13" fillId="0" borderId="0" xfId="1" applyNumberFormat="1" applyFont="1" applyBorder="1" applyAlignment="1">
      <alignment vertical="center" wrapText="1"/>
    </xf>
    <xf numFmtId="42" fontId="18" fillId="2" borderId="0" xfId="1" applyNumberFormat="1" applyFont="1" applyFill="1" applyBorder="1" applyAlignment="1">
      <alignment vertical="center" wrapText="1"/>
    </xf>
    <xf numFmtId="42" fontId="9" fillId="0" borderId="0" xfId="1" applyNumberFormat="1" applyFont="1" applyBorder="1" applyAlignment="1">
      <alignment vertical="center"/>
    </xf>
    <xf numFmtId="42" fontId="9" fillId="0" borderId="5" xfId="1" applyNumberFormat="1" applyFont="1" applyBorder="1" applyAlignment="1">
      <alignment vertical="center"/>
    </xf>
    <xf numFmtId="42" fontId="9" fillId="3" borderId="5" xfId="1" applyNumberFormat="1" applyFont="1" applyFill="1" applyBorder="1" applyAlignment="1">
      <alignment vertical="center"/>
    </xf>
    <xf numFmtId="42" fontId="12" fillId="0" borderId="0" xfId="1" applyNumberFormat="1" applyFont="1" applyFill="1" applyBorder="1" applyAlignment="1">
      <alignment vertical="center"/>
    </xf>
    <xf numFmtId="42" fontId="12" fillId="3" borderId="0" xfId="1" applyNumberFormat="1" applyFont="1" applyFill="1" applyBorder="1" applyAlignment="1">
      <alignment vertical="center"/>
    </xf>
    <xf numFmtId="42" fontId="13" fillId="0" borderId="5" xfId="1" applyNumberFormat="1" applyFont="1" applyBorder="1" applyAlignment="1">
      <alignment vertical="center"/>
    </xf>
    <xf numFmtId="42" fontId="15" fillId="3" borderId="0" xfId="1" applyNumberFormat="1" applyFont="1" applyFill="1" applyBorder="1" applyAlignment="1">
      <alignment vertical="center"/>
    </xf>
    <xf numFmtId="42" fontId="15" fillId="3" borderId="5" xfId="1" applyNumberFormat="1" applyFont="1" applyFill="1" applyBorder="1" applyAlignment="1">
      <alignment vertical="center"/>
    </xf>
    <xf numFmtId="42" fontId="8" fillId="2" borderId="0" xfId="1" applyNumberFormat="1" applyFont="1" applyFill="1" applyBorder="1" applyAlignment="1">
      <alignment vertical="center"/>
    </xf>
    <xf numFmtId="42" fontId="10" fillId="2" borderId="0" xfId="1" applyNumberFormat="1" applyFont="1" applyFill="1" applyBorder="1" applyAlignment="1">
      <alignment vertical="center"/>
    </xf>
    <xf numFmtId="42" fontId="8" fillId="2" borderId="5" xfId="1" applyNumberFormat="1" applyFont="1" applyFill="1" applyBorder="1" applyAlignment="1">
      <alignment vertical="center"/>
    </xf>
    <xf numFmtId="0" fontId="12" fillId="0" borderId="0" xfId="2" applyFont="1" applyAlignment="1">
      <alignment horizontal="center" vertical="center"/>
    </xf>
    <xf numFmtId="0" fontId="12" fillId="3" borderId="0" xfId="2" applyFont="1" applyFill="1" applyAlignment="1">
      <alignment horizontal="center" vertical="center"/>
    </xf>
    <xf numFmtId="42" fontId="13" fillId="3" borderId="0" xfId="1" applyNumberFormat="1" applyFont="1" applyFill="1" applyBorder="1" applyAlignment="1">
      <alignment vertical="center"/>
    </xf>
    <xf numFmtId="42" fontId="13" fillId="3" borderId="5" xfId="1" applyNumberFormat="1" applyFont="1" applyFill="1" applyBorder="1" applyAlignment="1">
      <alignment vertical="center"/>
    </xf>
    <xf numFmtId="0" fontId="15" fillId="0" borderId="4" xfId="2" applyFont="1" applyBorder="1" applyAlignment="1">
      <alignment vertical="center"/>
    </xf>
    <xf numFmtId="42" fontId="16" fillId="0" borderId="0" xfId="1" applyNumberFormat="1" applyFont="1" applyFill="1" applyBorder="1" applyAlignment="1">
      <alignment vertical="center"/>
    </xf>
    <xf numFmtId="42" fontId="16" fillId="0" borderId="5" xfId="1" applyNumberFormat="1" applyFont="1" applyFill="1" applyBorder="1" applyAlignment="1">
      <alignment vertical="center"/>
    </xf>
    <xf numFmtId="0" fontId="12" fillId="0" borderId="4" xfId="2" applyFont="1" applyBorder="1" applyAlignment="1">
      <alignment vertical="center" wrapText="1"/>
    </xf>
    <xf numFmtId="42" fontId="9" fillId="0" borderId="0" xfId="1" applyNumberFormat="1" applyFont="1" applyBorder="1" applyAlignment="1">
      <alignment vertical="center" wrapText="1"/>
    </xf>
    <xf numFmtId="42" fontId="12" fillId="0" borderId="0" xfId="1" applyNumberFormat="1" applyFont="1" applyBorder="1" applyAlignment="1">
      <alignment vertical="center"/>
    </xf>
    <xf numFmtId="0" fontId="12" fillId="3" borderId="4" xfId="2" applyFont="1" applyFill="1" applyBorder="1" applyAlignment="1">
      <alignment vertical="center" wrapText="1"/>
    </xf>
    <xf numFmtId="42" fontId="9" fillId="3" borderId="0" xfId="1" applyNumberFormat="1" applyFont="1" applyFill="1" applyBorder="1" applyAlignment="1">
      <alignment vertical="center" wrapText="1"/>
    </xf>
    <xf numFmtId="42" fontId="9" fillId="0" borderId="0" xfId="1" applyNumberFormat="1" applyFont="1" applyFill="1" applyBorder="1" applyAlignment="1">
      <alignment vertical="center" wrapText="1"/>
    </xf>
    <xf numFmtId="0" fontId="15" fillId="3" borderId="4" xfId="2" applyFont="1" applyFill="1" applyBorder="1" applyAlignment="1">
      <alignment vertical="center" wrapText="1"/>
    </xf>
    <xf numFmtId="0" fontId="10" fillId="2" borderId="4" xfId="2" applyFont="1" applyFill="1" applyBorder="1" applyAlignment="1">
      <alignment horizontal="left" vertical="center"/>
    </xf>
    <xf numFmtId="42" fontId="10" fillId="2" borderId="0" xfId="1" applyNumberFormat="1" applyFont="1" applyFill="1" applyBorder="1" applyAlignment="1">
      <alignment horizontal="center" vertical="center"/>
    </xf>
    <xf numFmtId="42" fontId="10" fillId="2" borderId="5" xfId="1" applyNumberFormat="1" applyFont="1" applyFill="1" applyBorder="1" applyAlignment="1">
      <alignment horizontal="center" vertical="center"/>
    </xf>
    <xf numFmtId="42" fontId="12" fillId="0" borderId="5" xfId="1" applyNumberFormat="1" applyFont="1" applyFill="1" applyBorder="1" applyAlignment="1">
      <alignment vertical="center"/>
    </xf>
    <xf numFmtId="42" fontId="14" fillId="3" borderId="0" xfId="1" applyNumberFormat="1" applyFont="1" applyFill="1" applyBorder="1" applyAlignment="1">
      <alignment vertical="center"/>
    </xf>
    <xf numFmtId="42" fontId="14" fillId="3" borderId="5" xfId="1" applyNumberFormat="1" applyFont="1" applyFill="1" applyBorder="1" applyAlignment="1">
      <alignment vertical="center"/>
    </xf>
    <xf numFmtId="0" fontId="15" fillId="0" borderId="6" xfId="2" applyFont="1" applyBorder="1" applyAlignment="1">
      <alignment vertical="center"/>
    </xf>
    <xf numFmtId="0" fontId="15" fillId="0" borderId="7" xfId="2" applyFont="1" applyBorder="1" applyAlignment="1">
      <alignment horizontal="center" vertical="center" wrapText="1"/>
    </xf>
    <xf numFmtId="42" fontId="16" fillId="0" borderId="7" xfId="1" applyNumberFormat="1" applyFont="1" applyBorder="1" applyAlignment="1">
      <alignment vertical="center"/>
    </xf>
    <xf numFmtId="42" fontId="16" fillId="0" borderId="8" xfId="1" applyNumberFormat="1" applyFont="1" applyBorder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42" fontId="18" fillId="2" borderId="5" xfId="1" applyNumberFormat="1" applyFont="1" applyFill="1" applyBorder="1" applyAlignment="1">
      <alignment vertical="center"/>
    </xf>
    <xf numFmtId="42" fontId="16" fillId="0" borderId="0" xfId="1" applyNumberFormat="1" applyFont="1" applyBorder="1" applyAlignment="1">
      <alignment vertical="center"/>
    </xf>
    <xf numFmtId="42" fontId="16" fillId="0" borderId="5" xfId="1" applyNumberFormat="1" applyFont="1" applyBorder="1" applyAlignment="1">
      <alignment vertical="center"/>
    </xf>
    <xf numFmtId="0" fontId="15" fillId="0" borderId="4" xfId="2" applyFont="1" applyBorder="1" applyAlignment="1">
      <alignment vertical="center" wrapText="1"/>
    </xf>
    <xf numFmtId="0" fontId="20" fillId="2" borderId="6" xfId="0" applyFont="1" applyFill="1" applyBorder="1" applyAlignment="1">
      <alignment vertical="center"/>
    </xf>
    <xf numFmtId="0" fontId="20" fillId="2" borderId="7" xfId="0" applyFont="1" applyFill="1" applyBorder="1" applyAlignment="1">
      <alignment horizontal="center" vertical="center"/>
    </xf>
    <xf numFmtId="42" fontId="20" fillId="2" borderId="7" xfId="1" applyNumberFormat="1" applyFont="1" applyFill="1" applyBorder="1" applyAlignment="1">
      <alignment vertical="center"/>
    </xf>
    <xf numFmtId="42" fontId="20" fillId="2" borderId="8" xfId="1" applyNumberFormat="1" applyFont="1" applyFill="1" applyBorder="1" applyAlignment="1">
      <alignment vertical="center"/>
    </xf>
    <xf numFmtId="0" fontId="10" fillId="2" borderId="9" xfId="3" applyNumberFormat="1" applyFont="1" applyFill="1" applyBorder="1" applyAlignment="1">
      <alignment horizontal="center" vertical="center" wrapText="1"/>
    </xf>
    <xf numFmtId="164" fontId="8" fillId="2" borderId="10" xfId="1" applyNumberFormat="1" applyFont="1" applyFill="1" applyBorder="1" applyAlignment="1">
      <alignment horizontal="center" vertical="center" wrapText="1"/>
    </xf>
    <xf numFmtId="42" fontId="9" fillId="0" borderId="10" xfId="1" applyNumberFormat="1" applyFont="1" applyFill="1" applyBorder="1" applyAlignment="1">
      <alignment vertical="center"/>
    </xf>
    <xf numFmtId="42" fontId="9" fillId="3" borderId="10" xfId="1" applyNumberFormat="1" applyFont="1" applyFill="1" applyBorder="1" applyAlignment="1">
      <alignment vertical="center"/>
    </xf>
    <xf numFmtId="42" fontId="9" fillId="0" borderId="10" xfId="1" applyNumberFormat="1" applyFont="1" applyBorder="1" applyAlignment="1">
      <alignment vertical="center"/>
    </xf>
    <xf numFmtId="42" fontId="13" fillId="0" borderId="10" xfId="1" applyNumberFormat="1" applyFont="1" applyFill="1" applyBorder="1" applyAlignment="1">
      <alignment vertical="center"/>
    </xf>
    <xf numFmtId="42" fontId="16" fillId="3" borderId="10" xfId="1" applyNumberFormat="1" applyFont="1" applyFill="1" applyBorder="1" applyAlignment="1">
      <alignment vertical="center"/>
    </xf>
    <xf numFmtId="42" fontId="18" fillId="2" borderId="10" xfId="1" applyNumberFormat="1" applyFont="1" applyFill="1" applyBorder="1" applyAlignment="1">
      <alignment vertical="center"/>
    </xf>
    <xf numFmtId="42" fontId="13" fillId="3" borderId="10" xfId="1" applyNumberFormat="1" applyFont="1" applyFill="1" applyBorder="1" applyAlignment="1">
      <alignment vertical="center"/>
    </xf>
    <xf numFmtId="42" fontId="16" fillId="0" borderId="10" xfId="1" applyNumberFormat="1" applyFont="1" applyBorder="1" applyAlignment="1">
      <alignment vertical="center"/>
    </xf>
    <xf numFmtId="42" fontId="12" fillId="3" borderId="10" xfId="1" applyNumberFormat="1" applyFont="1" applyFill="1" applyBorder="1" applyAlignment="1">
      <alignment vertical="center"/>
    </xf>
    <xf numFmtId="42" fontId="14" fillId="3" borderId="10" xfId="1" applyNumberFormat="1" applyFont="1" applyFill="1" applyBorder="1" applyAlignment="1">
      <alignment vertical="center"/>
    </xf>
    <xf numFmtId="42" fontId="15" fillId="0" borderId="10" xfId="1" applyNumberFormat="1" applyFont="1" applyBorder="1" applyAlignment="1">
      <alignment vertical="center"/>
    </xf>
    <xf numFmtId="0" fontId="10" fillId="2" borderId="10" xfId="3" applyNumberFormat="1" applyFont="1" applyFill="1" applyBorder="1" applyAlignment="1">
      <alignment horizontal="center" vertical="center" wrapText="1"/>
    </xf>
    <xf numFmtId="42" fontId="20" fillId="2" borderId="11" xfId="1" applyNumberFormat="1" applyFont="1" applyFill="1" applyBorder="1" applyAlignment="1">
      <alignment vertical="center"/>
    </xf>
    <xf numFmtId="42" fontId="13" fillId="0" borderId="10" xfId="1" applyNumberFormat="1" applyFont="1" applyBorder="1" applyAlignment="1">
      <alignment vertical="center"/>
    </xf>
    <xf numFmtId="42" fontId="17" fillId="2" borderId="10" xfId="1" applyNumberFormat="1" applyFont="1" applyFill="1" applyBorder="1" applyAlignment="1">
      <alignment vertical="center"/>
    </xf>
    <xf numFmtId="42" fontId="12" fillId="0" borderId="10" xfId="1" applyNumberFormat="1" applyFont="1" applyFill="1" applyBorder="1" applyAlignment="1">
      <alignment vertical="center"/>
    </xf>
    <xf numFmtId="42" fontId="14" fillId="0" borderId="10" xfId="1" applyNumberFormat="1" applyFont="1" applyFill="1" applyBorder="1" applyAlignment="1">
      <alignment vertical="center"/>
    </xf>
    <xf numFmtId="42" fontId="15" fillId="3" borderId="10" xfId="1" applyNumberFormat="1" applyFont="1" applyFill="1" applyBorder="1" applyAlignment="1">
      <alignment vertical="center"/>
    </xf>
    <xf numFmtId="42" fontId="8" fillId="2" borderId="10" xfId="1" applyNumberFormat="1" applyFont="1" applyFill="1" applyBorder="1" applyAlignment="1">
      <alignment vertical="center"/>
    </xf>
    <xf numFmtId="42" fontId="16" fillId="0" borderId="10" xfId="1" applyNumberFormat="1" applyFont="1" applyFill="1" applyBorder="1" applyAlignment="1">
      <alignment vertical="center"/>
    </xf>
    <xf numFmtId="42" fontId="9" fillId="0" borderId="10" xfId="1" applyNumberFormat="1" applyFont="1" applyBorder="1" applyAlignment="1">
      <alignment vertical="center" wrapText="1"/>
    </xf>
    <xf numFmtId="42" fontId="9" fillId="3" borderId="10" xfId="1" applyNumberFormat="1" applyFont="1" applyFill="1" applyBorder="1" applyAlignment="1">
      <alignment vertical="center" wrapText="1"/>
    </xf>
    <xf numFmtId="42" fontId="9" fillId="0" borderId="10" xfId="1" applyNumberFormat="1" applyFont="1" applyFill="1" applyBorder="1" applyAlignment="1">
      <alignment vertical="center" wrapText="1"/>
    </xf>
    <xf numFmtId="42" fontId="13" fillId="0" borderId="10" xfId="1" applyNumberFormat="1" applyFont="1" applyFill="1" applyBorder="1" applyAlignment="1">
      <alignment vertical="center" wrapText="1"/>
    </xf>
    <xf numFmtId="42" fontId="16" fillId="3" borderId="10" xfId="1" applyNumberFormat="1" applyFont="1" applyFill="1" applyBorder="1" applyAlignment="1">
      <alignment vertical="center" wrapText="1"/>
    </xf>
    <xf numFmtId="42" fontId="10" fillId="2" borderId="10" xfId="1" applyNumberFormat="1" applyFont="1" applyFill="1" applyBorder="1" applyAlignment="1">
      <alignment horizontal="center" vertical="center"/>
    </xf>
    <xf numFmtId="42" fontId="16" fillId="0" borderId="11" xfId="1" applyNumberFormat="1" applyFont="1" applyBorder="1" applyAlignment="1">
      <alignment vertical="center"/>
    </xf>
    <xf numFmtId="42" fontId="15" fillId="0" borderId="0" xfId="1" applyNumberFormat="1" applyFont="1" applyFill="1" applyBorder="1" applyAlignment="1">
      <alignment vertical="center"/>
    </xf>
    <xf numFmtId="42" fontId="13" fillId="3" borderId="0" xfId="1" applyNumberFormat="1" applyFont="1" applyFill="1" applyBorder="1" applyAlignment="1">
      <alignment vertical="center" wrapText="1"/>
    </xf>
    <xf numFmtId="164" fontId="9" fillId="0" borderId="0" xfId="1" applyNumberFormat="1" applyFont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9" fontId="9" fillId="0" borderId="0" xfId="0" applyNumberFormat="1" applyFont="1" applyAlignment="1">
      <alignment vertical="center"/>
    </xf>
    <xf numFmtId="165" fontId="9" fillId="0" borderId="0" xfId="4" applyNumberFormat="1" applyFont="1" applyAlignment="1">
      <alignment vertical="center"/>
    </xf>
    <xf numFmtId="0" fontId="10" fillId="2" borderId="0" xfId="2" applyFont="1" applyFill="1" applyAlignment="1">
      <alignment vertical="center" wrapText="1"/>
    </xf>
    <xf numFmtId="0" fontId="12" fillId="3" borderId="0" xfId="2" applyFont="1" applyFill="1" applyAlignment="1">
      <alignment vertical="center"/>
    </xf>
    <xf numFmtId="0" fontId="15" fillId="3" borderId="0" xfId="2" applyFont="1" applyFill="1" applyAlignment="1">
      <alignment vertical="center"/>
    </xf>
    <xf numFmtId="0" fontId="10" fillId="2" borderId="0" xfId="2" applyFont="1" applyFill="1" applyAlignment="1">
      <alignment vertical="center"/>
    </xf>
    <xf numFmtId="0" fontId="12" fillId="0" borderId="0" xfId="2" applyFont="1" applyAlignment="1">
      <alignment vertical="center" wrapText="1"/>
    </xf>
    <xf numFmtId="0" fontId="12" fillId="3" borderId="0" xfId="2" applyFont="1" applyFill="1" applyAlignment="1">
      <alignment vertical="center" wrapText="1"/>
    </xf>
    <xf numFmtId="0" fontId="15" fillId="3" borderId="0" xfId="2" applyFont="1" applyFill="1" applyAlignment="1">
      <alignment vertical="center" wrapText="1"/>
    </xf>
    <xf numFmtId="0" fontId="10" fillId="2" borderId="0" xfId="2" applyFont="1" applyFill="1" applyAlignment="1">
      <alignment horizontal="left" vertical="center"/>
    </xf>
    <xf numFmtId="0" fontId="15" fillId="0" borderId="7" xfId="2" applyFont="1" applyBorder="1" applyAlignment="1">
      <alignment vertical="center"/>
    </xf>
    <xf numFmtId="0" fontId="15" fillId="0" borderId="0" xfId="2" applyFont="1" applyAlignment="1">
      <alignment vertical="center" wrapText="1"/>
    </xf>
    <xf numFmtId="0" fontId="20" fillId="2" borderId="7" xfId="0" applyFont="1" applyFill="1" applyBorder="1" applyAlignment="1">
      <alignment vertical="center"/>
    </xf>
    <xf numFmtId="42" fontId="12" fillId="0" borderId="0" xfId="2" applyNumberFormat="1" applyFont="1" applyAlignment="1">
      <alignment vertical="center"/>
    </xf>
    <xf numFmtId="42" fontId="11" fillId="0" borderId="0" xfId="2" applyNumberFormat="1" applyFont="1" applyAlignment="1">
      <alignment vertical="center"/>
    </xf>
    <xf numFmtId="0" fontId="3" fillId="0" borderId="12" xfId="2" applyFont="1" applyBorder="1" applyAlignment="1">
      <alignment horizontal="center"/>
    </xf>
    <xf numFmtId="0" fontId="3" fillId="0" borderId="12" xfId="2" applyFont="1" applyBorder="1" applyAlignment="1">
      <alignment horizontal="center" wrapText="1"/>
    </xf>
    <xf numFmtId="0" fontId="2" fillId="0" borderId="12" xfId="2" applyBorder="1"/>
    <xf numFmtId="0" fontId="2" fillId="0" borderId="12" xfId="2" applyBorder="1" applyAlignment="1">
      <alignment wrapText="1"/>
    </xf>
    <xf numFmtId="0" fontId="2" fillId="0" borderId="12" xfId="2" applyBorder="1" applyAlignment="1">
      <alignment horizontal="center" wrapText="1"/>
    </xf>
    <xf numFmtId="164" fontId="0" fillId="0" borderId="12" xfId="1" applyNumberFormat="1" applyFont="1" applyFill="1" applyBorder="1" applyAlignment="1"/>
    <xf numFmtId="164" fontId="0" fillId="0" borderId="12" xfId="1" applyNumberFormat="1" applyFont="1" applyBorder="1" applyAlignment="1"/>
    <xf numFmtId="42" fontId="0" fillId="0" borderId="12" xfId="3" applyNumberFormat="1" applyFont="1" applyBorder="1" applyAlignment="1"/>
    <xf numFmtId="164" fontId="2" fillId="0" borderId="12" xfId="1" applyNumberFormat="1" applyFont="1" applyBorder="1"/>
    <xf numFmtId="164" fontId="2" fillId="0" borderId="12" xfId="1" applyNumberFormat="1" applyFont="1" applyBorder="1" applyAlignment="1"/>
    <xf numFmtId="164" fontId="2" fillId="0" borderId="12" xfId="1" applyNumberFormat="1" applyFont="1" applyFill="1" applyBorder="1" applyAlignment="1"/>
    <xf numFmtId="0" fontId="0" fillId="0" borderId="12" xfId="0" applyBorder="1"/>
    <xf numFmtId="164" fontId="0" fillId="0" borderId="12" xfId="1" applyNumberFormat="1" applyFont="1" applyBorder="1"/>
    <xf numFmtId="0" fontId="2" fillId="0" borderId="12" xfId="2" applyBorder="1" applyAlignment="1">
      <alignment horizontal="center"/>
    </xf>
    <xf numFmtId="164" fontId="7" fillId="0" borderId="12" xfId="1" applyNumberFormat="1" applyFont="1" applyBorder="1"/>
    <xf numFmtId="0" fontId="3" fillId="0" borderId="12" xfId="3" applyNumberFormat="1" applyFont="1" applyBorder="1" applyAlignment="1">
      <alignment horizontal="center" wrapText="1"/>
    </xf>
    <xf numFmtId="0" fontId="0" fillId="0" borderId="12" xfId="0" applyBorder="1" applyAlignment="1">
      <alignment wrapText="1"/>
    </xf>
    <xf numFmtId="164" fontId="0" fillId="0" borderId="12" xfId="0" applyNumberFormat="1" applyBorder="1"/>
    <xf numFmtId="42" fontId="13" fillId="3" borderId="10" xfId="1" applyNumberFormat="1" applyFont="1" applyFill="1" applyBorder="1" applyAlignment="1">
      <alignment vertical="center" wrapText="1"/>
    </xf>
    <xf numFmtId="42" fontId="16" fillId="0" borderId="10" xfId="1" applyNumberFormat="1" applyFont="1" applyFill="1" applyBorder="1" applyAlignment="1">
      <alignment vertical="center" wrapText="1"/>
    </xf>
    <xf numFmtId="42" fontId="16" fillId="0" borderId="0" xfId="1" applyNumberFormat="1" applyFont="1" applyFill="1" applyBorder="1" applyAlignment="1">
      <alignment vertical="center" wrapText="1"/>
    </xf>
    <xf numFmtId="42" fontId="16" fillId="0" borderId="5" xfId="1" applyNumberFormat="1" applyFont="1" applyFill="1" applyBorder="1" applyAlignment="1">
      <alignment vertical="center" wrapText="1"/>
    </xf>
    <xf numFmtId="49" fontId="12" fillId="0" borderId="0" xfId="2" applyNumberFormat="1" applyFont="1" applyAlignment="1">
      <alignment horizontal="center" vertical="center" wrapText="1"/>
    </xf>
    <xf numFmtId="49" fontId="12" fillId="3" borderId="0" xfId="2" applyNumberFormat="1" applyFont="1" applyFill="1" applyAlignment="1">
      <alignment horizontal="center" vertical="center" wrapText="1"/>
    </xf>
    <xf numFmtId="42" fontId="14" fillId="0" borderId="5" xfId="1" applyNumberFormat="1" applyFont="1" applyFill="1" applyBorder="1" applyAlignment="1">
      <alignment vertical="center"/>
    </xf>
    <xf numFmtId="42" fontId="20" fillId="2" borderId="0" xfId="1" applyNumberFormat="1" applyFont="1" applyFill="1" applyBorder="1" applyAlignment="1">
      <alignment vertical="center"/>
    </xf>
    <xf numFmtId="42" fontId="20" fillId="2" borderId="13" xfId="1" applyNumberFormat="1" applyFont="1" applyFill="1" applyBorder="1" applyAlignment="1">
      <alignment vertical="center"/>
    </xf>
    <xf numFmtId="42" fontId="20" fillId="2" borderId="14" xfId="1" applyNumberFormat="1" applyFont="1" applyFill="1" applyBorder="1" applyAlignment="1">
      <alignment vertical="center"/>
    </xf>
    <xf numFmtId="42" fontId="19" fillId="0" borderId="0" xfId="1" applyNumberFormat="1" applyFont="1" applyBorder="1" applyAlignment="1">
      <alignment vertical="center"/>
    </xf>
    <xf numFmtId="42" fontId="15" fillId="0" borderId="10" xfId="1" applyNumberFormat="1" applyFont="1" applyFill="1" applyBorder="1" applyAlignment="1">
      <alignment vertical="center"/>
    </xf>
    <xf numFmtId="42" fontId="15" fillId="0" borderId="5" xfId="1" applyNumberFormat="1" applyFont="1" applyFill="1" applyBorder="1" applyAlignment="1">
      <alignment vertical="center"/>
    </xf>
    <xf numFmtId="0" fontId="10" fillId="2" borderId="17" xfId="2" applyFont="1" applyFill="1" applyBorder="1"/>
    <xf numFmtId="164" fontId="10" fillId="2" borderId="18" xfId="1" applyNumberFormat="1" applyFont="1" applyFill="1" applyBorder="1" applyAlignment="1">
      <alignment horizontal="center"/>
    </xf>
    <xf numFmtId="0" fontId="10" fillId="2" borderId="19" xfId="2" applyFont="1" applyFill="1" applyBorder="1" applyAlignment="1">
      <alignment horizontal="center" wrapText="1"/>
    </xf>
    <xf numFmtId="0" fontId="12" fillId="0" borderId="15" xfId="2" applyFont="1" applyBorder="1"/>
    <xf numFmtId="0" fontId="12" fillId="0" borderId="12" xfId="2" applyFont="1" applyBorder="1"/>
    <xf numFmtId="0" fontId="12" fillId="0" borderId="20" xfId="2" applyFont="1" applyBorder="1" applyAlignment="1">
      <alignment wrapText="1"/>
    </xf>
    <xf numFmtId="164" fontId="12" fillId="0" borderId="12" xfId="1" applyNumberFormat="1" applyFont="1" applyFill="1" applyBorder="1" applyAlignment="1"/>
    <xf numFmtId="0" fontId="12" fillId="0" borderId="21" xfId="2" applyFont="1" applyBorder="1" applyAlignment="1">
      <alignment wrapText="1"/>
    </xf>
    <xf numFmtId="0" fontId="10" fillId="2" borderId="20" xfId="2" applyFont="1" applyFill="1" applyBorder="1" applyAlignment="1">
      <alignment wrapText="1"/>
    </xf>
    <xf numFmtId="164" fontId="10" fillId="2" borderId="12" xfId="1" applyNumberFormat="1" applyFont="1" applyFill="1" applyBorder="1" applyAlignment="1">
      <alignment horizontal="center"/>
    </xf>
    <xf numFmtId="0" fontId="10" fillId="2" borderId="21" xfId="2" applyFont="1" applyFill="1" applyBorder="1" applyAlignment="1">
      <alignment horizontal="center" wrapText="1"/>
    </xf>
    <xf numFmtId="164" fontId="12" fillId="0" borderId="12" xfId="1" applyNumberFormat="1" applyFont="1" applyBorder="1"/>
    <xf numFmtId="0" fontId="9" fillId="0" borderId="15" xfId="0" applyFont="1" applyBorder="1"/>
    <xf numFmtId="0" fontId="9" fillId="0" borderId="12" xfId="0" applyFont="1" applyBorder="1"/>
    <xf numFmtId="164" fontId="12" fillId="0" borderId="12" xfId="1" applyNumberFormat="1" applyFont="1" applyFill="1" applyBorder="1" applyAlignment="1">
      <alignment wrapText="1"/>
    </xf>
    <xf numFmtId="164" fontId="9" fillId="0" borderId="12" xfId="1" applyNumberFormat="1" applyFont="1" applyBorder="1"/>
    <xf numFmtId="0" fontId="9" fillId="0" borderId="21" xfId="0" applyFont="1" applyBorder="1"/>
    <xf numFmtId="164" fontId="12" fillId="0" borderId="12" xfId="1" applyNumberFormat="1" applyFont="1" applyBorder="1" applyAlignment="1"/>
    <xf numFmtId="0" fontId="12" fillId="0" borderId="21" xfId="2" applyFont="1" applyBorder="1"/>
    <xf numFmtId="0" fontId="9" fillId="0" borderId="16" xfId="0" applyFont="1" applyBorder="1" applyAlignment="1">
      <alignment wrapText="1"/>
    </xf>
    <xf numFmtId="0" fontId="9" fillId="0" borderId="16" xfId="0" applyFont="1" applyBorder="1"/>
    <xf numFmtId="0" fontId="12" fillId="0" borderId="12" xfId="2" applyFont="1" applyBorder="1" applyAlignment="1">
      <alignment wrapText="1"/>
    </xf>
    <xf numFmtId="0" fontId="9" fillId="0" borderId="12" xfId="0" applyFont="1" applyBorder="1" applyAlignment="1">
      <alignment wrapText="1"/>
    </xf>
    <xf numFmtId="0" fontId="12" fillId="0" borderId="25" xfId="2" applyFont="1" applyBorder="1" applyAlignment="1">
      <alignment wrapText="1"/>
    </xf>
    <xf numFmtId="164" fontId="12" fillId="0" borderId="26" xfId="1" applyNumberFormat="1" applyFont="1" applyBorder="1"/>
    <xf numFmtId="0" fontId="21" fillId="2" borderId="22" xfId="2" applyFont="1" applyFill="1" applyBorder="1" applyAlignment="1">
      <alignment wrapText="1"/>
    </xf>
    <xf numFmtId="164" fontId="21" fillId="2" borderId="23" xfId="1" applyNumberFormat="1" applyFont="1" applyFill="1" applyBorder="1"/>
    <xf numFmtId="0" fontId="21" fillId="2" borderId="24" xfId="2" applyFont="1" applyFill="1" applyBorder="1"/>
    <xf numFmtId="0" fontId="3" fillId="0" borderId="12" xfId="3" applyNumberFormat="1" applyFont="1" applyBorder="1" applyAlignment="1">
      <alignment horizontal="center"/>
    </xf>
    <xf numFmtId="42" fontId="4" fillId="0" borderId="12" xfId="3" applyNumberFormat="1" applyFont="1" applyBorder="1" applyAlignment="1"/>
    <xf numFmtId="164" fontId="7" fillId="0" borderId="12" xfId="1" applyNumberFormat="1" applyFont="1" applyFill="1" applyBorder="1" applyAlignment="1"/>
    <xf numFmtId="44" fontId="0" fillId="0" borderId="12" xfId="1" applyFont="1" applyBorder="1"/>
    <xf numFmtId="164" fontId="3" fillId="0" borderId="12" xfId="1" applyNumberFormat="1" applyFont="1" applyBorder="1" applyAlignment="1">
      <alignment horizontal="center" wrapText="1"/>
    </xf>
    <xf numFmtId="164" fontId="7" fillId="0" borderId="12" xfId="0" applyNumberFormat="1" applyFont="1" applyBorder="1"/>
    <xf numFmtId="0" fontId="7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  <xf numFmtId="164" fontId="0" fillId="0" borderId="0" xfId="0" applyNumberFormat="1"/>
    <xf numFmtId="0" fontId="7" fillId="0" borderId="12" xfId="0" applyFont="1" applyBorder="1"/>
    <xf numFmtId="0" fontId="7" fillId="0" borderId="0" xfId="0" applyFont="1"/>
    <xf numFmtId="164" fontId="0" fillId="0" borderId="0" xfId="1" applyNumberFormat="1" applyFont="1"/>
    <xf numFmtId="0" fontId="7" fillId="0" borderId="12" xfId="0" applyFont="1" applyBorder="1" applyAlignment="1">
      <alignment horizontal="center" wrapText="1"/>
    </xf>
    <xf numFmtId="0" fontId="7" fillId="0" borderId="27" xfId="0" applyFont="1" applyBorder="1" applyAlignment="1">
      <alignment horizontal="center" wrapText="1"/>
    </xf>
    <xf numFmtId="0" fontId="7" fillId="0" borderId="28" xfId="0" applyFont="1" applyBorder="1" applyAlignment="1">
      <alignment horizontal="center" wrapText="1"/>
    </xf>
    <xf numFmtId="0" fontId="7" fillId="0" borderId="29" xfId="0" applyFont="1" applyBorder="1" applyAlignment="1">
      <alignment horizontal="center" wrapText="1"/>
    </xf>
    <xf numFmtId="0" fontId="7" fillId="0" borderId="30" xfId="0" applyFont="1" applyBorder="1" applyAlignment="1">
      <alignment horizontal="center" wrapText="1"/>
    </xf>
    <xf numFmtId="0" fontId="0" fillId="0" borderId="0" xfId="0" applyAlignment="1">
      <alignment wrapText="1"/>
    </xf>
    <xf numFmtId="164" fontId="0" fillId="0" borderId="27" xfId="1" applyNumberFormat="1" applyFont="1" applyBorder="1"/>
    <xf numFmtId="44" fontId="0" fillId="0" borderId="27" xfId="1" applyFont="1" applyBorder="1"/>
    <xf numFmtId="164" fontId="0" fillId="0" borderId="31" xfId="1" applyNumberFormat="1" applyFont="1" applyBorder="1"/>
    <xf numFmtId="164" fontId="0" fillId="0" borderId="32" xfId="1" applyNumberFormat="1" applyFont="1" applyBorder="1"/>
    <xf numFmtId="44" fontId="0" fillId="0" borderId="0" xfId="0" applyNumberFormat="1"/>
    <xf numFmtId="0" fontId="0" fillId="0" borderId="27" xfId="0" applyBorder="1"/>
    <xf numFmtId="164" fontId="0" fillId="0" borderId="33" xfId="1" applyNumberFormat="1" applyFont="1" applyBorder="1"/>
    <xf numFmtId="164" fontId="0" fillId="0" borderId="34" xfId="1" applyNumberFormat="1" applyFont="1" applyBorder="1"/>
    <xf numFmtId="164" fontId="0" fillId="0" borderId="35" xfId="1" applyNumberFormat="1" applyFont="1" applyBorder="1"/>
    <xf numFmtId="164" fontId="0" fillId="0" borderId="36" xfId="1" applyNumberFormat="1" applyFont="1" applyBorder="1"/>
    <xf numFmtId="165" fontId="0" fillId="0" borderId="0" xfId="4" applyNumberFormat="1" applyFont="1"/>
    <xf numFmtId="0" fontId="2" fillId="0" borderId="16" xfId="2" applyBorder="1"/>
    <xf numFmtId="0" fontId="3" fillId="0" borderId="16" xfId="2" applyFont="1" applyBorder="1" applyAlignment="1">
      <alignment horizontal="center"/>
    </xf>
    <xf numFmtId="164" fontId="2" fillId="0" borderId="37" xfId="1" applyNumberFormat="1" applyFont="1" applyBorder="1"/>
    <xf numFmtId="0" fontId="0" fillId="0" borderId="16" xfId="0" applyBorder="1"/>
    <xf numFmtId="0" fontId="0" fillId="0" borderId="0" xfId="0" applyAlignment="1">
      <alignment horizontal="center"/>
    </xf>
    <xf numFmtId="164" fontId="0" fillId="0" borderId="16" xfId="1" applyNumberFormat="1" applyFont="1" applyBorder="1"/>
    <xf numFmtId="0" fontId="23" fillId="0" borderId="16" xfId="0" applyFont="1" applyBorder="1"/>
    <xf numFmtId="0" fontId="2" fillId="0" borderId="16" xfId="2" applyBorder="1" applyAlignment="1">
      <alignment horizontal="center"/>
    </xf>
    <xf numFmtId="0" fontId="3" fillId="0" borderId="42" xfId="2" applyFont="1" applyBorder="1" applyAlignment="1">
      <alignment horizontal="center" wrapText="1"/>
    </xf>
    <xf numFmtId="0" fontId="2" fillId="0" borderId="16" xfId="2" applyBorder="1" applyAlignment="1">
      <alignment horizontal="center" wrapText="1"/>
    </xf>
    <xf numFmtId="49" fontId="3" fillId="0" borderId="42" xfId="5" applyNumberFormat="1" applyFont="1" applyBorder="1" applyAlignment="1">
      <alignment horizontal="center" wrapText="1"/>
    </xf>
    <xf numFmtId="164" fontId="2" fillId="0" borderId="16" xfId="1" applyNumberFormat="1" applyFont="1" applyBorder="1"/>
    <xf numFmtId="166" fontId="0" fillId="0" borderId="0" xfId="5" applyNumberFormat="1" applyFont="1" applyBorder="1"/>
    <xf numFmtId="6" fontId="0" fillId="0" borderId="0" xfId="0" applyNumberFormat="1"/>
    <xf numFmtId="164" fontId="7" fillId="0" borderId="46" xfId="1" applyNumberFormat="1" applyFont="1" applyBorder="1"/>
    <xf numFmtId="0" fontId="2" fillId="0" borderId="12" xfId="2" applyBorder="1" applyAlignment="1">
      <alignment horizontal="left" wrapText="1"/>
    </xf>
    <xf numFmtId="0" fontId="3" fillId="0" borderId="42" xfId="2" applyFont="1" applyBorder="1" applyAlignment="1">
      <alignment horizontal="center"/>
    </xf>
    <xf numFmtId="0" fontId="3" fillId="0" borderId="42" xfId="3" applyNumberFormat="1" applyFont="1" applyBorder="1" applyAlignment="1">
      <alignment horizontal="center"/>
    </xf>
    <xf numFmtId="0" fontId="2" fillId="0" borderId="37" xfId="2" applyBorder="1" applyAlignment="1">
      <alignment horizontal="center" wrapText="1"/>
    </xf>
    <xf numFmtId="0" fontId="0" fillId="0" borderId="29" xfId="0" applyBorder="1"/>
    <xf numFmtId="0" fontId="0" fillId="4" borderId="46" xfId="0" applyFill="1" applyBorder="1"/>
    <xf numFmtId="0" fontId="0" fillId="4" borderId="43" xfId="0" applyFill="1" applyBorder="1"/>
    <xf numFmtId="0" fontId="0" fillId="4" borderId="40" xfId="0" applyFill="1" applyBorder="1"/>
    <xf numFmtId="0" fontId="24" fillId="0" borderId="44" xfId="0" applyFont="1" applyBorder="1"/>
    <xf numFmtId="0" fontId="3" fillId="0" borderId="47" xfId="2" applyFont="1" applyBorder="1" applyAlignment="1">
      <alignment horizontal="center" wrapText="1"/>
    </xf>
    <xf numFmtId="49" fontId="3" fillId="0" borderId="47" xfId="5" applyNumberFormat="1" applyFont="1" applyBorder="1" applyAlignment="1">
      <alignment horizontal="center" wrapText="1"/>
    </xf>
    <xf numFmtId="0" fontId="3" fillId="0" borderId="47" xfId="2" applyFont="1" applyBorder="1" applyAlignment="1">
      <alignment horizontal="center"/>
    </xf>
    <xf numFmtId="0" fontId="3" fillId="0" borderId="48" xfId="2" applyFont="1" applyBorder="1" applyAlignment="1">
      <alignment horizontal="center" wrapText="1"/>
    </xf>
    <xf numFmtId="164" fontId="2" fillId="0" borderId="12" xfId="1" applyNumberFormat="1" applyFont="1" applyBorder="1" applyAlignment="1">
      <alignment horizontal="center"/>
    </xf>
    <xf numFmtId="164" fontId="2" fillId="0" borderId="12" xfId="1" applyNumberFormat="1" applyFont="1" applyBorder="1" applyAlignment="1">
      <alignment wrapText="1"/>
    </xf>
    <xf numFmtId="44" fontId="0" fillId="0" borderId="16" xfId="1" applyFont="1" applyBorder="1"/>
    <xf numFmtId="0" fontId="0" fillId="0" borderId="49" xfId="0" applyBorder="1"/>
    <xf numFmtId="0" fontId="0" fillId="0" borderId="15" xfId="0" applyBorder="1"/>
    <xf numFmtId="44" fontId="0" fillId="0" borderId="26" xfId="1" applyFont="1" applyBorder="1"/>
    <xf numFmtId="0" fontId="0" fillId="0" borderId="26" xfId="0" applyBorder="1"/>
    <xf numFmtId="164" fontId="0" fillId="0" borderId="16" xfId="1" applyNumberFormat="1" applyFont="1" applyBorder="1" applyAlignment="1">
      <alignment horizontal="left"/>
    </xf>
    <xf numFmtId="164" fontId="0" fillId="0" borderId="12" xfId="1" applyNumberFormat="1" applyFont="1" applyBorder="1" applyAlignment="1">
      <alignment horizontal="left"/>
    </xf>
    <xf numFmtId="164" fontId="0" fillId="0" borderId="12" xfId="1" applyNumberFormat="1" applyFont="1" applyFill="1" applyBorder="1"/>
    <xf numFmtId="164" fontId="0" fillId="0" borderId="26" xfId="1" applyNumberFormat="1" applyFont="1" applyBorder="1" applyAlignment="1">
      <alignment horizontal="left"/>
    </xf>
    <xf numFmtId="164" fontId="0" fillId="0" borderId="26" xfId="1" applyNumberFormat="1" applyFont="1" applyBorder="1"/>
    <xf numFmtId="6" fontId="0" fillId="0" borderId="12" xfId="0" applyNumberFormat="1" applyBorder="1"/>
    <xf numFmtId="164" fontId="0" fillId="5" borderId="12" xfId="1" applyNumberFormat="1" applyFont="1" applyFill="1" applyBorder="1"/>
    <xf numFmtId="0" fontId="0" fillId="0" borderId="0" xfId="0" applyAlignment="1">
      <alignment horizontal="right"/>
    </xf>
    <xf numFmtId="166" fontId="0" fillId="0" borderId="0" xfId="5" applyNumberFormat="1" applyFont="1" applyBorder="1" applyAlignment="1">
      <alignment horizontal="right"/>
    </xf>
    <xf numFmtId="6" fontId="23" fillId="0" borderId="16" xfId="0" applyNumberFormat="1" applyFont="1" applyBorder="1"/>
    <xf numFmtId="0" fontId="24" fillId="0" borderId="16" xfId="0" applyFont="1" applyBorder="1"/>
    <xf numFmtId="6" fontId="24" fillId="0" borderId="12" xfId="0" applyNumberFormat="1" applyFont="1" applyBorder="1"/>
    <xf numFmtId="0" fontId="24" fillId="0" borderId="16" xfId="0" applyFont="1" applyBorder="1" applyAlignment="1">
      <alignment wrapText="1"/>
    </xf>
    <xf numFmtId="164" fontId="0" fillId="0" borderId="44" xfId="1" applyNumberFormat="1" applyFont="1" applyFill="1" applyBorder="1"/>
    <xf numFmtId="164" fontId="0" fillId="0" borderId="16" xfId="1" applyNumberFormat="1" applyFont="1" applyFill="1" applyBorder="1"/>
    <xf numFmtId="164" fontId="2" fillId="0" borderId="12" xfId="1" applyNumberFormat="1" applyFont="1" applyFill="1" applyBorder="1"/>
    <xf numFmtId="164" fontId="7" fillId="4" borderId="46" xfId="1" applyNumberFormat="1" applyFont="1" applyFill="1" applyBorder="1"/>
    <xf numFmtId="0" fontId="28" fillId="0" borderId="38" xfId="2" applyFont="1" applyBorder="1" applyAlignment="1">
      <alignment horizontal="center"/>
    </xf>
    <xf numFmtId="0" fontId="28" fillId="0" borderId="39" xfId="2" applyFont="1" applyBorder="1" applyAlignment="1">
      <alignment horizontal="center"/>
    </xf>
    <xf numFmtId="0" fontId="28" fillId="0" borderId="39" xfId="2" applyFont="1" applyBorder="1" applyAlignment="1">
      <alignment horizontal="center" wrapText="1"/>
    </xf>
    <xf numFmtId="0" fontId="28" fillId="0" borderId="42" xfId="2" applyFont="1" applyBorder="1" applyAlignment="1">
      <alignment horizontal="center" wrapText="1"/>
    </xf>
    <xf numFmtId="49" fontId="28" fillId="0" borderId="42" xfId="5" applyNumberFormat="1" applyFont="1" applyBorder="1" applyAlignment="1">
      <alignment horizontal="center" wrapText="1"/>
    </xf>
    <xf numFmtId="0" fontId="28" fillId="0" borderId="39" xfId="3" applyNumberFormat="1" applyFont="1" applyBorder="1" applyAlignment="1">
      <alignment horizontal="center"/>
    </xf>
    <xf numFmtId="0" fontId="28" fillId="0" borderId="39" xfId="3" applyNumberFormat="1" applyFont="1" applyBorder="1" applyAlignment="1">
      <alignment horizontal="right"/>
    </xf>
    <xf numFmtId="49" fontId="28" fillId="0" borderId="43" xfId="5" applyNumberFormat="1" applyFont="1" applyBorder="1" applyAlignment="1">
      <alignment horizontal="center" wrapText="1"/>
    </xf>
    <xf numFmtId="0" fontId="28" fillId="0" borderId="41" xfId="2" applyFont="1" applyBorder="1" applyAlignment="1">
      <alignment horizontal="center" wrapText="1"/>
    </xf>
    <xf numFmtId="0" fontId="28" fillId="0" borderId="40" xfId="2" applyFont="1" applyBorder="1" applyAlignment="1">
      <alignment horizontal="center" wrapText="1"/>
    </xf>
    <xf numFmtId="0" fontId="28" fillId="0" borderId="16" xfId="2" applyFont="1" applyBorder="1" applyAlignment="1">
      <alignment horizontal="center"/>
    </xf>
    <xf numFmtId="0" fontId="29" fillId="0" borderId="16" xfId="2" applyFont="1" applyBorder="1"/>
    <xf numFmtId="0" fontId="29" fillId="0" borderId="16" xfId="2" applyFont="1" applyBorder="1" applyAlignment="1">
      <alignment horizontal="center" wrapText="1"/>
    </xf>
    <xf numFmtId="164" fontId="29" fillId="0" borderId="16" xfId="1" applyNumberFormat="1" applyFont="1" applyBorder="1"/>
    <xf numFmtId="164" fontId="30" fillId="0" borderId="12" xfId="1" applyNumberFormat="1" applyFont="1" applyBorder="1"/>
    <xf numFmtId="9" fontId="30" fillId="0" borderId="12" xfId="4" applyFont="1" applyBorder="1" applyAlignment="1">
      <alignment horizontal="right"/>
    </xf>
    <xf numFmtId="164" fontId="30" fillId="0" borderId="16" xfId="1" applyNumberFormat="1" applyFont="1" applyBorder="1"/>
    <xf numFmtId="0" fontId="31" fillId="0" borderId="16" xfId="0" applyFont="1" applyBorder="1"/>
    <xf numFmtId="0" fontId="30" fillId="0" borderId="16" xfId="0" applyFont="1" applyBorder="1"/>
    <xf numFmtId="0" fontId="28" fillId="0" borderId="12" xfId="2" applyFont="1" applyBorder="1" applyAlignment="1">
      <alignment horizontal="center"/>
    </xf>
    <xf numFmtId="0" fontId="29" fillId="0" borderId="12" xfId="2" applyFont="1" applyBorder="1"/>
    <xf numFmtId="164" fontId="29" fillId="0" borderId="12" xfId="1" applyNumberFormat="1" applyFont="1" applyBorder="1"/>
    <xf numFmtId="0" fontId="29" fillId="0" borderId="12" xfId="2" applyFont="1" applyBorder="1" applyAlignment="1">
      <alignment horizontal="center" wrapText="1"/>
    </xf>
    <xf numFmtId="0" fontId="30" fillId="0" borderId="12" xfId="0" applyFont="1" applyBorder="1"/>
    <xf numFmtId="9" fontId="30" fillId="0" borderId="12" xfId="4" applyFont="1" applyBorder="1"/>
    <xf numFmtId="0" fontId="30" fillId="0" borderId="0" xfId="0" applyFont="1"/>
    <xf numFmtId="164" fontId="29" fillId="0" borderId="37" xfId="1" applyNumberFormat="1" applyFont="1" applyBorder="1"/>
    <xf numFmtId="0" fontId="29" fillId="0" borderId="12" xfId="2" applyFont="1" applyBorder="1" applyAlignment="1">
      <alignment horizontal="left" wrapText="1"/>
    </xf>
    <xf numFmtId="0" fontId="32" fillId="0" borderId="44" xfId="0" applyFont="1" applyBorder="1"/>
    <xf numFmtId="164" fontId="30" fillId="0" borderId="12" xfId="1" applyNumberFormat="1" applyFont="1" applyBorder="1" applyAlignment="1">
      <alignment horizontal="right"/>
    </xf>
    <xf numFmtId="0" fontId="29" fillId="0" borderId="37" xfId="2" applyFont="1" applyBorder="1" applyAlignment="1">
      <alignment horizontal="center" wrapText="1"/>
    </xf>
    <xf numFmtId="164" fontId="30" fillId="0" borderId="12" xfId="1" applyNumberFormat="1" applyFont="1" applyFill="1" applyBorder="1"/>
    <xf numFmtId="0" fontId="29" fillId="0" borderId="12" xfId="2" applyFont="1" applyBorder="1" applyAlignment="1">
      <alignment wrapText="1"/>
    </xf>
    <xf numFmtId="0" fontId="31" fillId="0" borderId="12" xfId="0" applyFont="1" applyBorder="1"/>
    <xf numFmtId="0" fontId="30" fillId="0" borderId="49" xfId="0" applyFont="1" applyBorder="1"/>
    <xf numFmtId="44" fontId="30" fillId="0" borderId="16" xfId="1" applyFont="1" applyBorder="1"/>
    <xf numFmtId="164" fontId="30" fillId="0" borderId="16" xfId="1" applyNumberFormat="1" applyFont="1" applyBorder="1" applyAlignment="1">
      <alignment horizontal="left"/>
    </xf>
    <xf numFmtId="0" fontId="30" fillId="0" borderId="15" xfId="0" applyFont="1" applyBorder="1"/>
    <xf numFmtId="44" fontId="30" fillId="0" borderId="12" xfId="1" applyFont="1" applyBorder="1"/>
    <xf numFmtId="164" fontId="30" fillId="0" borderId="12" xfId="1" applyNumberFormat="1" applyFont="1" applyBorder="1" applyAlignment="1">
      <alignment horizontal="left"/>
    </xf>
    <xf numFmtId="44" fontId="30" fillId="0" borderId="26" xfId="1" applyFont="1" applyBorder="1"/>
    <xf numFmtId="164" fontId="30" fillId="0" borderId="26" xfId="1" applyNumberFormat="1" applyFont="1" applyBorder="1" applyAlignment="1">
      <alignment horizontal="left"/>
    </xf>
    <xf numFmtId="164" fontId="30" fillId="0" borderId="26" xfId="1" applyNumberFormat="1" applyFont="1" applyBorder="1"/>
    <xf numFmtId="0" fontId="30" fillId="0" borderId="26" xfId="0" applyFont="1" applyBorder="1"/>
    <xf numFmtId="0" fontId="30" fillId="0" borderId="12" xfId="0" applyFont="1" applyBorder="1" applyAlignment="1">
      <alignment wrapText="1"/>
    </xf>
    <xf numFmtId="6" fontId="30" fillId="0" borderId="12" xfId="0" applyNumberFormat="1" applyFont="1" applyBorder="1"/>
    <xf numFmtId="0" fontId="29" fillId="0" borderId="16" xfId="2" applyFont="1" applyBorder="1" applyAlignment="1">
      <alignment horizontal="center"/>
    </xf>
    <xf numFmtId="164" fontId="30" fillId="0" borderId="12" xfId="1" applyNumberFormat="1" applyFont="1" applyFill="1" applyBorder="1" applyAlignment="1"/>
    <xf numFmtId="9" fontId="30" fillId="0" borderId="12" xfId="4" applyFont="1" applyFill="1" applyBorder="1" applyAlignment="1"/>
    <xf numFmtId="164" fontId="29" fillId="0" borderId="12" xfId="1" applyNumberFormat="1" applyFont="1" applyBorder="1" applyAlignment="1">
      <alignment horizontal="center"/>
    </xf>
    <xf numFmtId="164" fontId="29" fillId="0" borderId="12" xfId="1" applyNumberFormat="1" applyFont="1" applyBorder="1" applyAlignment="1">
      <alignment wrapText="1"/>
    </xf>
    <xf numFmtId="164" fontId="33" fillId="0" borderId="46" xfId="1" applyNumberFormat="1" applyFont="1" applyBorder="1"/>
    <xf numFmtId="0" fontId="30" fillId="4" borderId="46" xfId="0" applyFont="1" applyFill="1" applyBorder="1"/>
    <xf numFmtId="0" fontId="30" fillId="4" borderId="43" xfId="0" applyFont="1" applyFill="1" applyBorder="1"/>
    <xf numFmtId="0" fontId="29" fillId="0" borderId="16" xfId="2" applyFont="1" applyBorder="1" applyAlignment="1">
      <alignment wrapText="1"/>
    </xf>
    <xf numFmtId="0" fontId="33" fillId="0" borderId="45" xfId="0" applyFont="1" applyBorder="1" applyAlignment="1">
      <alignment horizontal="center"/>
    </xf>
    <xf numFmtId="0" fontId="33" fillId="0" borderId="46" xfId="0" applyFont="1" applyBorder="1" applyAlignment="1">
      <alignment horizontal="center"/>
    </xf>
    <xf numFmtId="0" fontId="33" fillId="0" borderId="43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0" borderId="45" xfId="0" applyFont="1" applyBorder="1" applyAlignment="1">
      <alignment horizontal="center"/>
    </xf>
    <xf numFmtId="0" fontId="7" fillId="0" borderId="46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164" fontId="2" fillId="0" borderId="26" xfId="1" applyNumberFormat="1" applyFont="1" applyBorder="1" applyAlignment="1">
      <alignment horizontal="center"/>
    </xf>
    <xf numFmtId="164" fontId="2" fillId="0" borderId="16" xfId="1" applyNumberFormat="1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6" xfId="0" applyBorder="1" applyAlignment="1">
      <alignment horizontal="center"/>
    </xf>
    <xf numFmtId="0" fontId="23" fillId="0" borderId="26" xfId="0" applyFont="1" applyBorder="1" applyAlignment="1">
      <alignment horizontal="center"/>
    </xf>
    <xf numFmtId="0" fontId="23" fillId="0" borderId="16" xfId="0" applyFont="1" applyBorder="1" applyAlignment="1">
      <alignment horizontal="center"/>
    </xf>
    <xf numFmtId="17" fontId="2" fillId="0" borderId="26" xfId="2" applyNumberFormat="1" applyBorder="1" applyAlignment="1">
      <alignment horizontal="center" wrapText="1"/>
    </xf>
    <xf numFmtId="0" fontId="2" fillId="0" borderId="16" xfId="2" applyBorder="1" applyAlignment="1">
      <alignment horizontal="center" wrapText="1"/>
    </xf>
    <xf numFmtId="0" fontId="0" fillId="0" borderId="26" xfId="0" applyBorder="1" applyAlignment="1">
      <alignment horizontal="left"/>
    </xf>
    <xf numFmtId="0" fontId="0" fillId="0" borderId="16" xfId="0" applyBorder="1" applyAlignment="1">
      <alignment horizontal="left"/>
    </xf>
  </cellXfs>
  <cellStyles count="9">
    <cellStyle name="Comma" xfId="5" builtinId="3"/>
    <cellStyle name="Currency" xfId="1" builtinId="4"/>
    <cellStyle name="Currency 2" xfId="3" xr:uid="{9024005A-2D74-4A17-A0B3-B8206F6A1BCB}"/>
    <cellStyle name="Normal" xfId="0" builtinId="0"/>
    <cellStyle name="Normal 2" xfId="2" xr:uid="{5AB40D29-7AD4-4A77-B644-522FC7295A41}"/>
    <cellStyle name="Normal 2 2" xfId="8" xr:uid="{F69231F3-6FF6-49C4-B5EB-2056FE765CDA}"/>
    <cellStyle name="Normal 3" xfId="7" xr:uid="{CB2EC06A-D388-42B4-B08E-33D1BFAFA240}"/>
    <cellStyle name="Normal 4" xfId="6" xr:uid="{05BD4A94-B638-4885-AA9F-2E43DF921D88}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2023 Capital</a:t>
            </a:r>
            <a:r>
              <a:rPr lang="en-US" baseline="0">
                <a:solidFill>
                  <a:sysClr val="windowText" lastClr="000000"/>
                </a:solidFill>
              </a:rPr>
              <a:t> Projects by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3AE0-4036-854D-C8704E223D2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207-4DE7-AEE7-D5258074E80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3AE0-4036-854D-C8704E223D2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AE0-4036-854D-C8704E223D2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3AE0-4036-854D-C8704E223D2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AE0-4036-854D-C8704E223D2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3AE0-4036-854D-C8704E223D25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207-4DE7-AEE7-D5258074E804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5207-4DE7-AEE7-D5258074E804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AE0-4036-854D-C8704E223D25}"/>
              </c:ext>
            </c:extLst>
          </c:dPt>
          <c:dLbls>
            <c:dLbl>
              <c:idx val="0"/>
              <c:layout>
                <c:manualLayout>
                  <c:x val="-0.334410687797071"/>
                  <c:y val="4.424331536968454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AE0-4036-854D-C8704E223D25}"/>
                </c:ext>
              </c:extLst>
            </c:dLbl>
            <c:dLbl>
              <c:idx val="2"/>
              <c:layout>
                <c:manualLayout>
                  <c:x val="0.2766362848231112"/>
                  <c:y val="4.709090696676919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AE0-4036-854D-C8704E223D25}"/>
                </c:ext>
              </c:extLst>
            </c:dLbl>
            <c:dLbl>
              <c:idx val="3"/>
              <c:layout>
                <c:manualLayout>
                  <c:x val="0.18194299164305594"/>
                  <c:y val="0.1031102870122652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50195816104185"/>
                      <c:h val="0.1524197518913569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7-3AE0-4036-854D-C8704E223D25}"/>
                </c:ext>
              </c:extLst>
            </c:dLbl>
            <c:dLbl>
              <c:idx val="4"/>
              <c:layout>
                <c:manualLayout>
                  <c:x val="6.0965830972261957E-2"/>
                  <c:y val="0.10712198313341889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AE0-4036-854D-C8704E223D25}"/>
                </c:ext>
              </c:extLst>
            </c:dLbl>
            <c:dLbl>
              <c:idx val="5"/>
              <c:layout>
                <c:manualLayout>
                  <c:x val="0.1399946106449233"/>
                  <c:y val="8.220363734680968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AE0-4036-854D-C8704E223D25}"/>
                </c:ext>
              </c:extLst>
            </c:dLbl>
            <c:dLbl>
              <c:idx val="6"/>
              <c:layout>
                <c:manualLayout>
                  <c:x val="3.9436390544006321E-2"/>
                  <c:y val="-7.0097284089903913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AE0-4036-854D-C8704E223D25}"/>
                </c:ext>
              </c:extLst>
            </c:dLbl>
            <c:dLbl>
              <c:idx val="9"/>
              <c:layout>
                <c:manualLayout>
                  <c:x val="-0.22644485940756695"/>
                  <c:y val="0.139578719334816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AE0-4036-854D-C8704E223D2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'2023 ShowDoc Graphs'!$A$87:$A$96</c:f>
              <c:strCache>
                <c:ptCount val="10"/>
                <c:pt idx="0">
                  <c:v>Building &amp; Grounds</c:v>
                </c:pt>
                <c:pt idx="1">
                  <c:v>Building &amp; Zoning</c:v>
                </c:pt>
                <c:pt idx="2">
                  <c:v>Fire &amp; Emergency Services</c:v>
                </c:pt>
                <c:pt idx="3">
                  <c:v>Information Technology</c:v>
                </c:pt>
                <c:pt idx="4">
                  <c:v>Parks &amp; Recreation</c:v>
                </c:pt>
                <c:pt idx="5">
                  <c:v>Police</c:v>
                </c:pt>
                <c:pt idx="6">
                  <c:v>Public Works</c:v>
                </c:pt>
                <c:pt idx="7">
                  <c:v>Storm Sewer &amp; Drains</c:v>
                </c:pt>
                <c:pt idx="8">
                  <c:v>Sustainability</c:v>
                </c:pt>
                <c:pt idx="9">
                  <c:v>Transportation</c:v>
                </c:pt>
              </c:strCache>
            </c:strRef>
          </c:cat>
          <c:val>
            <c:numRef>
              <c:f>'2023 ShowDoc Graphs'!$B$87:$B$96</c:f>
              <c:numCache>
                <c:formatCode>_("$"* #,##0_);_("$"* \(#,##0\);_("$"* "-"??_);_(@_)</c:formatCode>
                <c:ptCount val="10"/>
                <c:pt idx="0">
                  <c:v>194250</c:v>
                </c:pt>
                <c:pt idx="1">
                  <c:v>40000</c:v>
                </c:pt>
                <c:pt idx="2">
                  <c:v>1159200</c:v>
                </c:pt>
                <c:pt idx="3">
                  <c:v>75000</c:v>
                </c:pt>
                <c:pt idx="4">
                  <c:v>1526000</c:v>
                </c:pt>
                <c:pt idx="5">
                  <c:v>650000</c:v>
                </c:pt>
                <c:pt idx="6">
                  <c:v>2830000</c:v>
                </c:pt>
                <c:pt idx="7">
                  <c:v>2310000</c:v>
                </c:pt>
                <c:pt idx="8">
                  <c:v>2380000</c:v>
                </c:pt>
                <c:pt idx="9">
                  <c:v>2370000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E0-4036-854D-C8704E223D25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5207-4DE7-AEE7-D5258074E80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5207-4DE7-AEE7-D5258074E80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5207-4DE7-AEE7-D5258074E80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5207-4DE7-AEE7-D5258074E80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5207-4DE7-AEE7-D5258074E80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5207-4DE7-AEE7-D5258074E80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5207-4DE7-AEE7-D5258074E80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5207-4DE7-AEE7-D5258074E804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5207-4DE7-AEE7-D5258074E804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5207-4DE7-AEE7-D5258074E804}"/>
              </c:ext>
            </c:extLst>
          </c:dPt>
          <c:cat>
            <c:strRef>
              <c:f>'2023 ShowDoc Graphs'!$A$87:$A$96</c:f>
              <c:strCache>
                <c:ptCount val="10"/>
                <c:pt idx="0">
                  <c:v>Building &amp; Grounds</c:v>
                </c:pt>
                <c:pt idx="1">
                  <c:v>Building &amp; Zoning</c:v>
                </c:pt>
                <c:pt idx="2">
                  <c:v>Fire &amp; Emergency Services</c:v>
                </c:pt>
                <c:pt idx="3">
                  <c:v>Information Technology</c:v>
                </c:pt>
                <c:pt idx="4">
                  <c:v>Parks &amp; Recreation</c:v>
                </c:pt>
                <c:pt idx="5">
                  <c:v>Police</c:v>
                </c:pt>
                <c:pt idx="6">
                  <c:v>Public Works</c:v>
                </c:pt>
                <c:pt idx="7">
                  <c:v>Storm Sewer &amp; Drains</c:v>
                </c:pt>
                <c:pt idx="8">
                  <c:v>Sustainability</c:v>
                </c:pt>
                <c:pt idx="9">
                  <c:v>Transportation</c:v>
                </c:pt>
              </c:strCache>
            </c:strRef>
          </c:cat>
          <c:val>
            <c:numRef>
              <c:f>'2023 ShowDoc Graphs'!$C$87:$C$96</c:f>
              <c:numCache>
                <c:formatCode>0.0%</c:formatCode>
                <c:ptCount val="10"/>
                <c:pt idx="0">
                  <c:v>1.435226403732697E-2</c:v>
                </c:pt>
                <c:pt idx="1">
                  <c:v>2.9554211659875355E-3</c:v>
                </c:pt>
                <c:pt idx="2">
                  <c:v>8.5648105390318779E-2</c:v>
                </c:pt>
                <c:pt idx="3">
                  <c:v>5.5414146862266291E-3</c:v>
                </c:pt>
                <c:pt idx="4">
                  <c:v>0.11274931748242448</c:v>
                </c:pt>
                <c:pt idx="5">
                  <c:v>4.8025593947297454E-2</c:v>
                </c:pt>
                <c:pt idx="6">
                  <c:v>0.20909604749361813</c:v>
                </c:pt>
                <c:pt idx="7">
                  <c:v>0.17067557233578018</c:v>
                </c:pt>
                <c:pt idx="8">
                  <c:v>0.17584755937625837</c:v>
                </c:pt>
                <c:pt idx="9">
                  <c:v>0.17510870408476148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E0-4036-854D-C8704E223D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2023 Capital Projects by Asset Type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D14-44B5-A687-4024E304BD1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5D14-44B5-A687-4024E304BD1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D14-44B5-A687-4024E304BD1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5D14-44B5-A687-4024E304BD1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D14-44B5-A687-4024E304BD11}"/>
              </c:ext>
            </c:extLst>
          </c:dPt>
          <c:dLbls>
            <c:dLbl>
              <c:idx val="0"/>
              <c:layout>
                <c:manualLayout>
                  <c:x val="0.14134689413823281"/>
                  <c:y val="7.563502478856809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D14-44B5-A687-4024E304BD11}"/>
                </c:ext>
              </c:extLst>
            </c:dLbl>
            <c:dLbl>
              <c:idx val="1"/>
              <c:layout>
                <c:manualLayout>
                  <c:x val="8.7692913385826674E-2"/>
                  <c:y val="7.69634004082823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D14-44B5-A687-4024E304BD11}"/>
                </c:ext>
              </c:extLst>
            </c:dLbl>
            <c:dLbl>
              <c:idx val="2"/>
              <c:layout>
                <c:manualLayout>
                  <c:x val="0.28927055993000866"/>
                  <c:y val="-0.182966972878390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D14-44B5-A687-4024E304BD11}"/>
                </c:ext>
              </c:extLst>
            </c:dLbl>
            <c:dLbl>
              <c:idx val="3"/>
              <c:layout>
                <c:manualLayout>
                  <c:x val="-0.12368438320209973"/>
                  <c:y val="0.12380322251385244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D14-44B5-A687-4024E304BD11}"/>
                </c:ext>
              </c:extLst>
            </c:dLbl>
            <c:dLbl>
              <c:idx val="4"/>
              <c:layout>
                <c:manualLayout>
                  <c:x val="-0.13048140857392823"/>
                  <c:y val="4.1779673374161566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D14-44B5-A687-4024E304BD1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'2023 ShowDoc Graphs'!$F$2:$F$6</c:f>
              <c:strCache>
                <c:ptCount val="5"/>
                <c:pt idx="0">
                  <c:v>Building Improvements</c:v>
                </c:pt>
                <c:pt idx="1">
                  <c:v>Equipment</c:v>
                </c:pt>
                <c:pt idx="2">
                  <c:v>Land Improvements</c:v>
                </c:pt>
                <c:pt idx="3">
                  <c:v>Professional Services</c:v>
                </c:pt>
                <c:pt idx="4">
                  <c:v>Vehicles</c:v>
                </c:pt>
              </c:strCache>
            </c:strRef>
          </c:cat>
          <c:val>
            <c:numRef>
              <c:f>'2023 ShowDoc Graphs'!$G$2:$G$6</c:f>
              <c:numCache>
                <c:formatCode>_("$"* #,##0_);_("$"* \(#,##0\);_("$"* "-"_);_(@_)</c:formatCode>
                <c:ptCount val="5"/>
                <c:pt idx="0">
                  <c:v>1944250</c:v>
                </c:pt>
                <c:pt idx="1">
                  <c:v>908700</c:v>
                </c:pt>
                <c:pt idx="2">
                  <c:v>8376000</c:v>
                </c:pt>
                <c:pt idx="3">
                  <c:v>480000</c:v>
                </c:pt>
                <c:pt idx="4">
                  <c:v>1825500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14-44B5-A687-4024E304BD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867276</xdr:colOff>
      <xdr:row>83</xdr:row>
      <xdr:rowOff>152398</xdr:rowOff>
    </xdr:from>
    <xdr:to>
      <xdr:col>11</xdr:col>
      <xdr:colOff>210552</xdr:colOff>
      <xdr:row>102</xdr:row>
      <xdr:rowOff>100263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F390B2B-B9CA-E399-22E6-45F21E4EF6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278230</xdr:colOff>
      <xdr:row>7</xdr:row>
      <xdr:rowOff>122320</xdr:rowOff>
    </xdr:from>
    <xdr:to>
      <xdr:col>10</xdr:col>
      <xdr:colOff>137861</xdr:colOff>
      <xdr:row>24</xdr:row>
      <xdr:rowOff>78204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74F2713-2AE1-1CA3-1BF0-1EFDF6748E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Mega Bhandary" id="{A43661AE-75C8-4F7D-BCE6-08E9F7FB0CB0}" userId="S::mbhandary@lmt.org::d85de45f-628b-4a71-95cb-8fba6cce66d8" providerId="AD"/>
  <person displayName="Nick Valla" id="{F387FB2E-CF6F-4B50-8969-771E25022FF7}" userId="S::nvalla@middletownbucks.org::c498b6fc-d2da-414f-b69b-446e68aa5091" providerId="AD"/>
</personList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9" dT="2023-10-18T15:54:59.35" personId="{F387FB2E-CF6F-4B50-8969-771E25022FF7}" id="{32A51D11-00F8-48E3-913D-B9091A49A4CC}">
    <text>Includes site work, brine machine, and electrical</text>
  </threadedComment>
  <threadedComment ref="G30" dT="2023-10-18T15:56:25.17" personId="{F387FB2E-CF6F-4B50-8969-771E25022FF7}" id="{316EE4F8-CC7E-49B5-B528-657A77D601D2}">
    <text>Possibly more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A40" dT="2023-10-18T15:54:59.35" personId="{F387FB2E-CF6F-4B50-8969-771E25022FF7}" id="{07FFDF77-BD53-4901-91D4-A412DCE31412}">
    <text>Includes site work, brine machine, and electrical</text>
  </threadedComment>
  <threadedComment ref="G41" dT="2023-10-18T15:56:25.17" personId="{F387FB2E-CF6F-4B50-8969-771E25022FF7}" id="{C2894C97-3F64-49ED-A7DF-4CA6B3A6578C}">
    <text>Possibly more</text>
  </threadedComment>
</ThreadedComments>
</file>

<file path=xl/threadedComments/threadedComment3.xml><?xml version="1.0" encoding="utf-8"?>
<ThreadedComments xmlns="http://schemas.microsoft.com/office/spreadsheetml/2018/threadedcomments" xmlns:x="http://schemas.openxmlformats.org/spreadsheetml/2006/main">
  <threadedComment ref="K5" dT="2026-09-21T19:30:12.43" personId="{A43661AE-75C8-4F7D-BCE6-08E9F7FB0CB0}" id="{85210A7E-6C76-4563-9708-A9EBBD951F7F}">
    <text>$86,000 Max for LSA Grant Reimbursement</text>
  </threadedComment>
  <threadedComment ref="K6" dT="2026-09-21T19:34:30.97" personId="{A43661AE-75C8-4F7D-BCE6-08E9F7FB0CB0}" id="{5DC6262F-79BC-4BE3-AE1B-7F61FE7D7632}">
    <text>Includes $284,545 Previously Transferred bond proceeds ($700k)</text>
  </threadedComment>
</ThreadedComments>
</file>

<file path=xl/threadedComments/threadedComment4.xml><?xml version="1.0" encoding="utf-8"?>
<ThreadedComments xmlns="http://schemas.microsoft.com/office/spreadsheetml/2018/threadedcomments" xmlns:x="http://schemas.openxmlformats.org/spreadsheetml/2006/main">
  <threadedComment ref="M5" dT="2024-08-22T18:22:57.81" personId="{F387FB2E-CF6F-4B50-8969-771E25022FF7}" id="{8FD81ADA-B8A4-4A83-924C-9E8D6EE967ED}">
    <text>744k earned
500k applied</text>
  </threadedComment>
</ThreadedComments>
</file>

<file path=xl/threadedComments/threadedComment5.xml><?xml version="1.0" encoding="utf-8"?>
<ThreadedComments xmlns="http://schemas.microsoft.com/office/spreadsheetml/2018/threadedcomments" xmlns:x="http://schemas.openxmlformats.org/spreadsheetml/2006/main">
  <threadedComment ref="M4" dT="2024-08-02T13:55:30.01" personId="{F387FB2E-CF6F-4B50-8969-771E25022FF7}" id="{474BF809-8B9C-4C40-A706-4578E97ACAF3}">
    <text>Seek add’l funds from NSD</text>
  </threadedComment>
  <threadedComment ref="G12" dT="2024-08-02T16:08:44.77" personId="{F387FB2E-CF6F-4B50-8969-771E25022FF7}" id="{BE4DC5A6-124C-48FD-8D3C-AD8940AA0FDE}">
    <text>May be implemented in part by Piazza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Relationship Id="rId4" Type="http://schemas.microsoft.com/office/2017/10/relationships/threadedComment" Target="../threadedComments/threadedComment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3.xml"/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0.bin"/><Relationship Id="rId4" Type="http://schemas.microsoft.com/office/2017/10/relationships/threadedComment" Target="../threadedComments/threadedComment4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2.bin"/><Relationship Id="rId4" Type="http://schemas.microsoft.com/office/2017/10/relationships/threadedComment" Target="../threadedComments/threadedComment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8F257-06AF-4BF8-B0CA-EE3B40E293D5}">
  <sheetPr>
    <tabColor rgb="FFFF0000"/>
    <pageSetUpPr fitToPage="1"/>
  </sheetPr>
  <dimension ref="A1:D72"/>
  <sheetViews>
    <sheetView workbookViewId="0"/>
  </sheetViews>
  <sheetFormatPr defaultColWidth="9.140625" defaultRowHeight="12.75"/>
  <cols>
    <col min="1" max="1" width="25.5703125" style="195" customWidth="1"/>
    <col min="2" max="2" width="24.140625" style="186" bestFit="1" customWidth="1"/>
    <col min="3" max="3" width="42.5703125" style="186" customWidth="1"/>
    <col min="4" max="16384" width="9.140625" style="186"/>
  </cols>
  <sheetData>
    <row r="1" spans="1:4" s="177" customFormat="1" ht="13.5" thickTop="1">
      <c r="A1" s="173" t="s">
        <v>225</v>
      </c>
      <c r="B1" s="174" t="s">
        <v>163</v>
      </c>
      <c r="C1" s="175" t="s">
        <v>164</v>
      </c>
      <c r="D1" s="176"/>
    </row>
    <row r="2" spans="1:4" s="177" customFormat="1">
      <c r="A2" s="178" t="s">
        <v>88</v>
      </c>
      <c r="B2" s="179">
        <v>15000</v>
      </c>
      <c r="C2" s="180" t="s">
        <v>238</v>
      </c>
      <c r="D2" s="176"/>
    </row>
    <row r="3" spans="1:4" s="177" customFormat="1">
      <c r="A3" s="181" t="s">
        <v>103</v>
      </c>
      <c r="B3" s="182" t="s">
        <v>163</v>
      </c>
      <c r="C3" s="183" t="s">
        <v>164</v>
      </c>
      <c r="D3" s="176"/>
    </row>
    <row r="4" spans="1:4" s="177" customFormat="1">
      <c r="A4" s="178" t="s">
        <v>188</v>
      </c>
      <c r="B4" s="184">
        <v>4500</v>
      </c>
      <c r="C4" s="180" t="s">
        <v>91</v>
      </c>
      <c r="D4" s="176"/>
    </row>
    <row r="5" spans="1:4" s="177" customFormat="1">
      <c r="A5" s="181" t="s">
        <v>136</v>
      </c>
      <c r="B5" s="182" t="s">
        <v>163</v>
      </c>
      <c r="C5" s="183" t="s">
        <v>164</v>
      </c>
      <c r="D5" s="176"/>
    </row>
    <row r="6" spans="1:4">
      <c r="A6" s="178" t="s">
        <v>93</v>
      </c>
      <c r="B6" s="179">
        <v>1000</v>
      </c>
      <c r="C6" s="180" t="s">
        <v>228</v>
      </c>
      <c r="D6" s="185"/>
    </row>
    <row r="7" spans="1:4">
      <c r="A7" s="181" t="s">
        <v>89</v>
      </c>
      <c r="B7" s="182" t="s">
        <v>163</v>
      </c>
      <c r="C7" s="183" t="s">
        <v>164</v>
      </c>
      <c r="D7" s="185"/>
    </row>
    <row r="8" spans="1:4" s="177" customFormat="1">
      <c r="A8" s="178" t="s">
        <v>129</v>
      </c>
      <c r="B8" s="179">
        <v>1600</v>
      </c>
      <c r="C8" s="180" t="s">
        <v>167</v>
      </c>
      <c r="D8" s="176"/>
    </row>
    <row r="9" spans="1:4" s="177" customFormat="1">
      <c r="A9" s="181" t="s">
        <v>95</v>
      </c>
      <c r="B9" s="182" t="s">
        <v>163</v>
      </c>
      <c r="C9" s="183" t="s">
        <v>164</v>
      </c>
      <c r="D9" s="176"/>
    </row>
    <row r="10" spans="1:4" s="177" customFormat="1" ht="25.5">
      <c r="A10" s="178" t="s">
        <v>188</v>
      </c>
      <c r="B10" s="187">
        <v>-2500</v>
      </c>
      <c r="C10" s="180" t="s">
        <v>226</v>
      </c>
      <c r="D10" s="176"/>
    </row>
    <row r="11" spans="1:4" s="177" customFormat="1" ht="12" customHeight="1">
      <c r="A11" s="178" t="s">
        <v>100</v>
      </c>
      <c r="B11" s="187">
        <v>16000</v>
      </c>
      <c r="C11" s="180" t="s">
        <v>166</v>
      </c>
      <c r="D11" s="176"/>
    </row>
    <row r="12" spans="1:4" s="177" customFormat="1">
      <c r="A12" s="178" t="s">
        <v>98</v>
      </c>
      <c r="B12" s="187">
        <v>-4200</v>
      </c>
      <c r="C12" s="180" t="s">
        <v>227</v>
      </c>
      <c r="D12" s="176"/>
    </row>
    <row r="13" spans="1:4" s="177" customFormat="1">
      <c r="A13" s="178" t="s">
        <v>97</v>
      </c>
      <c r="B13" s="187">
        <v>4000</v>
      </c>
      <c r="C13" s="180" t="s">
        <v>168</v>
      </c>
      <c r="D13" s="176"/>
    </row>
    <row r="14" spans="1:4" s="177" customFormat="1">
      <c r="A14" s="181" t="s">
        <v>19</v>
      </c>
      <c r="B14" s="182" t="s">
        <v>163</v>
      </c>
      <c r="C14" s="183" t="s">
        <v>164</v>
      </c>
      <c r="D14" s="176"/>
    </row>
    <row r="15" spans="1:4" s="177" customFormat="1">
      <c r="A15" s="178" t="s">
        <v>18</v>
      </c>
      <c r="B15" s="179">
        <v>7000</v>
      </c>
      <c r="C15" s="180" t="s">
        <v>228</v>
      </c>
      <c r="D15" s="176"/>
    </row>
    <row r="16" spans="1:4" s="177" customFormat="1">
      <c r="A16" s="178" t="s">
        <v>186</v>
      </c>
      <c r="B16" s="179">
        <v>-16000</v>
      </c>
      <c r="C16" s="180" t="s">
        <v>229</v>
      </c>
      <c r="D16" s="176"/>
    </row>
    <row r="17" spans="1:4" s="177" customFormat="1">
      <c r="A17" s="178" t="s">
        <v>195</v>
      </c>
      <c r="B17" s="179">
        <v>-25000</v>
      </c>
      <c r="C17" s="180" t="s">
        <v>230</v>
      </c>
      <c r="D17" s="176"/>
    </row>
    <row r="18" spans="1:4" s="177" customFormat="1">
      <c r="A18" s="181" t="s">
        <v>53</v>
      </c>
      <c r="B18" s="182" t="s">
        <v>163</v>
      </c>
      <c r="C18" s="183" t="s">
        <v>164</v>
      </c>
      <c r="D18" s="176"/>
    </row>
    <row r="19" spans="1:4" s="177" customFormat="1" ht="25.5">
      <c r="A19" s="178" t="s">
        <v>84</v>
      </c>
      <c r="B19" s="184">
        <v>25000</v>
      </c>
      <c r="C19" s="180" t="s">
        <v>169</v>
      </c>
      <c r="D19" s="176"/>
    </row>
    <row r="20" spans="1:4" s="177" customFormat="1" ht="25.5">
      <c r="A20" s="178" t="s">
        <v>77</v>
      </c>
      <c r="B20" s="187">
        <f>50*100</f>
        <v>5000</v>
      </c>
      <c r="C20" s="180" t="s">
        <v>231</v>
      </c>
      <c r="D20" s="176"/>
    </row>
    <row r="21" spans="1:4" s="177" customFormat="1">
      <c r="A21" s="178" t="s">
        <v>75</v>
      </c>
      <c r="B21" s="184">
        <v>10500</v>
      </c>
      <c r="C21" s="180" t="s">
        <v>228</v>
      </c>
      <c r="D21" s="176"/>
    </row>
    <row r="22" spans="1:4" s="177" customFormat="1" ht="38.25">
      <c r="A22" s="178" t="s">
        <v>78</v>
      </c>
      <c r="B22" s="184">
        <v>7000</v>
      </c>
      <c r="C22" s="180" t="s">
        <v>232</v>
      </c>
      <c r="D22" s="176"/>
    </row>
    <row r="23" spans="1:4" s="177" customFormat="1">
      <c r="A23" s="178" t="s">
        <v>76</v>
      </c>
      <c r="B23" s="179">
        <v>1000</v>
      </c>
      <c r="C23" s="180" t="s">
        <v>233</v>
      </c>
      <c r="D23" s="176"/>
    </row>
    <row r="24" spans="1:4" s="177" customFormat="1">
      <c r="A24" s="178" t="s">
        <v>127</v>
      </c>
      <c r="B24" s="179">
        <v>1000</v>
      </c>
      <c r="C24" s="180" t="s">
        <v>233</v>
      </c>
      <c r="D24" s="176"/>
    </row>
    <row r="25" spans="1:4">
      <c r="A25" s="178" t="s">
        <v>194</v>
      </c>
      <c r="B25" s="188">
        <f>-50*200</f>
        <v>-10000</v>
      </c>
      <c r="C25" s="189" t="s">
        <v>234</v>
      </c>
      <c r="D25" s="185"/>
    </row>
    <row r="26" spans="1:4">
      <c r="A26" s="181" t="s">
        <v>196</v>
      </c>
      <c r="B26" s="182" t="s">
        <v>163</v>
      </c>
      <c r="C26" s="183" t="s">
        <v>164</v>
      </c>
      <c r="D26" s="185"/>
    </row>
    <row r="27" spans="1:4" s="177" customFormat="1" ht="25.5">
      <c r="A27" s="178" t="s">
        <v>142</v>
      </c>
      <c r="B27" s="184">
        <v>10000</v>
      </c>
      <c r="C27" s="180" t="s">
        <v>170</v>
      </c>
      <c r="D27" s="176"/>
    </row>
    <row r="28" spans="1:4" s="177" customFormat="1">
      <c r="A28" s="178" t="s">
        <v>72</v>
      </c>
      <c r="B28" s="184">
        <v>5000</v>
      </c>
      <c r="C28" s="180" t="s">
        <v>170</v>
      </c>
      <c r="D28" s="176"/>
    </row>
    <row r="29" spans="1:4" s="177" customFormat="1">
      <c r="A29" s="181" t="s">
        <v>109</v>
      </c>
      <c r="B29" s="182" t="s">
        <v>163</v>
      </c>
      <c r="C29" s="183" t="s">
        <v>164</v>
      </c>
      <c r="D29" s="176"/>
    </row>
    <row r="30" spans="1:4" s="177" customFormat="1" ht="25.5">
      <c r="A30" s="178" t="s">
        <v>108</v>
      </c>
      <c r="B30" s="190">
        <v>12500</v>
      </c>
      <c r="C30" s="180" t="s">
        <v>235</v>
      </c>
      <c r="D30" s="176"/>
    </row>
    <row r="31" spans="1:4" s="177" customFormat="1">
      <c r="A31" s="181" t="s">
        <v>49</v>
      </c>
      <c r="B31" s="182" t="s">
        <v>163</v>
      </c>
      <c r="C31" s="183" t="s">
        <v>164</v>
      </c>
      <c r="D31" s="176"/>
    </row>
    <row r="32" spans="1:4" s="177" customFormat="1" ht="25.5">
      <c r="A32" s="178" t="s">
        <v>181</v>
      </c>
      <c r="B32" s="184">
        <v>-250</v>
      </c>
      <c r="C32" s="180" t="s">
        <v>236</v>
      </c>
      <c r="D32" s="176"/>
    </row>
    <row r="33" spans="1:4" s="177" customFormat="1">
      <c r="A33" s="178" t="s">
        <v>58</v>
      </c>
      <c r="B33" s="184">
        <v>1000</v>
      </c>
      <c r="C33" s="191" t="s">
        <v>237</v>
      </c>
      <c r="D33" s="176"/>
    </row>
    <row r="34" spans="1:4" s="177" customFormat="1" ht="25.5">
      <c r="A34" s="196" t="s">
        <v>172</v>
      </c>
      <c r="B34" s="197">
        <v>5000</v>
      </c>
      <c r="C34" s="180" t="s">
        <v>233</v>
      </c>
      <c r="D34" s="176"/>
    </row>
    <row r="35" spans="1:4" s="177" customFormat="1" ht="13.5" thickBot="1">
      <c r="A35" s="198" t="s">
        <v>165</v>
      </c>
      <c r="B35" s="199">
        <f>SUM(B2:B34)</f>
        <v>74150</v>
      </c>
      <c r="C35" s="200"/>
      <c r="D35" s="176"/>
    </row>
    <row r="36" spans="1:4" ht="13.5" thickTop="1">
      <c r="A36" s="192"/>
      <c r="B36" s="193"/>
      <c r="C36" s="193"/>
    </row>
    <row r="37" spans="1:4">
      <c r="A37" s="194"/>
    </row>
    <row r="71" spans="1:3" s="177" customFormat="1">
      <c r="A71" s="194"/>
      <c r="B71" s="179"/>
      <c r="C71" s="194"/>
    </row>
    <row r="72" spans="1:3">
      <c r="A72" s="194"/>
    </row>
  </sheetData>
  <pageMargins left="0.7" right="0.7" top="0.75" bottom="0.75" header="0.3" footer="0.3"/>
  <pageSetup paperSize="3" scale="5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07161-EE8C-4AF2-975C-CF6963055F16}">
  <sheetPr>
    <tabColor rgb="FFFF0000"/>
  </sheetPr>
  <dimension ref="A1:G104"/>
  <sheetViews>
    <sheetView workbookViewId="0"/>
  </sheetViews>
  <sheetFormatPr defaultColWidth="9.140625" defaultRowHeight="12.75"/>
  <cols>
    <col min="1" max="1" width="32.28515625" style="2" customWidth="1"/>
    <col min="2" max="2" width="19.42578125" style="2" bestFit="1" customWidth="1"/>
    <col min="3" max="3" width="13.5703125" style="7" bestFit="1" customWidth="1"/>
    <col min="4" max="4" width="13" style="2" customWidth="1"/>
    <col min="5" max="5" width="11.7109375" style="2" bestFit="1" customWidth="1"/>
    <col min="6" max="6" width="19.42578125" style="2" bestFit="1" customWidth="1"/>
    <col min="7" max="7" width="12" style="2" bestFit="1" customWidth="1"/>
    <col min="8" max="16384" width="9.140625" style="2"/>
  </cols>
  <sheetData>
    <row r="1" spans="1:7" s="1" customFormat="1" ht="15" customHeight="1">
      <c r="A1" s="22" t="s">
        <v>87</v>
      </c>
      <c r="B1" s="129"/>
      <c r="C1" s="18" t="s">
        <v>3</v>
      </c>
      <c r="D1" s="95" t="s">
        <v>145</v>
      </c>
    </row>
    <row r="2" spans="1:7" s="1" customFormat="1">
      <c r="A2" s="26" t="s">
        <v>90</v>
      </c>
      <c r="B2" s="1" t="s">
        <v>160</v>
      </c>
      <c r="C2" s="27">
        <v>1</v>
      </c>
      <c r="D2" s="96">
        <v>30000</v>
      </c>
      <c r="F2" s="1" t="s">
        <v>160</v>
      </c>
      <c r="G2" s="140">
        <f>D2+D3+D64+D4</f>
        <v>1944250</v>
      </c>
    </row>
    <row r="3" spans="1:7" s="1" customFormat="1">
      <c r="A3" s="30" t="s">
        <v>124</v>
      </c>
      <c r="B3" s="130" t="s">
        <v>160</v>
      </c>
      <c r="C3" s="31">
        <v>1</v>
      </c>
      <c r="D3" s="97">
        <v>150000</v>
      </c>
      <c r="F3" s="1" t="s">
        <v>29</v>
      </c>
      <c r="G3" s="140">
        <f>D11+D12+D13+D17+D18+D19+D20+D33+D34+D35+D46+D47+D49+D50+D62+D73</f>
        <v>908700</v>
      </c>
    </row>
    <row r="4" spans="1:7" ht="15">
      <c r="A4" s="26" t="s">
        <v>153</v>
      </c>
      <c r="B4" s="1" t="s">
        <v>160</v>
      </c>
      <c r="C4" s="27">
        <v>1</v>
      </c>
      <c r="D4" s="109">
        <v>14250</v>
      </c>
      <c r="F4" s="2" t="s">
        <v>162</v>
      </c>
      <c r="G4" s="15">
        <f>D24+D25+D26+D27+D29+D41+D42+D43+D44+D48+D51+D54+D55+D56+D58+D59+D63+D65+D68+D69+D71+D72+D74+D75</f>
        <v>8376000</v>
      </c>
    </row>
    <row r="5" spans="1:7" s="5" customFormat="1">
      <c r="A5" s="37" t="s">
        <v>146</v>
      </c>
      <c r="B5" s="131"/>
      <c r="C5" s="38"/>
      <c r="D5" s="100">
        <f>SUM(D2:D4)</f>
        <v>194250</v>
      </c>
      <c r="F5" s="2" t="s">
        <v>161</v>
      </c>
      <c r="G5" s="15">
        <f>D23+D57+D70+D76+D77</f>
        <v>480000</v>
      </c>
    </row>
    <row r="6" spans="1:7" s="1" customFormat="1">
      <c r="A6" s="41" t="s">
        <v>103</v>
      </c>
      <c r="B6" s="132"/>
      <c r="C6" s="42"/>
      <c r="D6" s="110"/>
      <c r="F6" s="1" t="s">
        <v>22</v>
      </c>
      <c r="G6" s="140">
        <f>D7+D10+D14+D28+D32+D45</f>
        <v>1825500</v>
      </c>
    </row>
    <row r="7" spans="1:7" s="1" customFormat="1" ht="15">
      <c r="A7" s="26" t="s">
        <v>101</v>
      </c>
      <c r="B7" s="1" t="s">
        <v>22</v>
      </c>
      <c r="C7" s="27">
        <v>1</v>
      </c>
      <c r="D7" s="109">
        <v>40000</v>
      </c>
      <c r="G7" s="141">
        <f>SUM(G2:G6)</f>
        <v>13534450</v>
      </c>
    </row>
    <row r="8" spans="1:7" s="6" customFormat="1">
      <c r="A8" s="37" t="s">
        <v>146</v>
      </c>
      <c r="B8" s="131"/>
      <c r="C8" s="38"/>
      <c r="D8" s="100">
        <f>D7</f>
        <v>40000</v>
      </c>
    </row>
    <row r="9" spans="1:7" s="1" customFormat="1">
      <c r="A9" s="41" t="s">
        <v>136</v>
      </c>
      <c r="B9" s="132"/>
      <c r="C9" s="42"/>
      <c r="D9" s="101"/>
    </row>
    <row r="10" spans="1:7">
      <c r="A10" s="26" t="s">
        <v>138</v>
      </c>
      <c r="B10" s="1" t="s">
        <v>22</v>
      </c>
      <c r="C10" s="7">
        <v>1</v>
      </c>
      <c r="D10" s="96">
        <v>1000000</v>
      </c>
    </row>
    <row r="11" spans="1:7">
      <c r="A11" s="30" t="s">
        <v>94</v>
      </c>
      <c r="B11" s="130" t="s">
        <v>29</v>
      </c>
      <c r="C11" s="31">
        <v>1</v>
      </c>
      <c r="D11" s="97">
        <v>100000</v>
      </c>
    </row>
    <row r="12" spans="1:7">
      <c r="A12" s="26" t="s">
        <v>155</v>
      </c>
      <c r="B12" s="1" t="s">
        <v>29</v>
      </c>
      <c r="C12" s="27">
        <v>1</v>
      </c>
      <c r="D12" s="111">
        <v>45000</v>
      </c>
    </row>
    <row r="13" spans="1:7">
      <c r="A13" s="30" t="s">
        <v>139</v>
      </c>
      <c r="B13" s="130" t="s">
        <v>29</v>
      </c>
      <c r="C13" s="31">
        <v>1</v>
      </c>
      <c r="D13" s="104">
        <v>6700</v>
      </c>
    </row>
    <row r="14" spans="1:7" ht="15">
      <c r="A14" s="26" t="s">
        <v>137</v>
      </c>
      <c r="B14" s="1" t="s">
        <v>22</v>
      </c>
      <c r="C14" s="27">
        <v>2</v>
      </c>
      <c r="D14" s="112">
        <v>7500</v>
      </c>
      <c r="E14" s="4"/>
    </row>
    <row r="15" spans="1:7" s="5" customFormat="1">
      <c r="A15" s="37" t="s">
        <v>146</v>
      </c>
      <c r="B15" s="131"/>
      <c r="C15" s="38"/>
      <c r="D15" s="113">
        <f>SUM(D10:D14)</f>
        <v>1159200</v>
      </c>
    </row>
    <row r="16" spans="1:7" s="8" customFormat="1">
      <c r="A16" s="41" t="s">
        <v>89</v>
      </c>
      <c r="B16" s="132"/>
      <c r="C16" s="18"/>
      <c r="D16" s="114"/>
    </row>
    <row r="17" spans="1:4">
      <c r="A17" s="26" t="s">
        <v>105</v>
      </c>
      <c r="B17" s="1" t="s">
        <v>29</v>
      </c>
      <c r="C17" s="60">
        <v>1</v>
      </c>
      <c r="D17" s="111">
        <v>30000</v>
      </c>
    </row>
    <row r="18" spans="1:4">
      <c r="A18" s="30" t="s">
        <v>106</v>
      </c>
      <c r="B18" s="130" t="s">
        <v>29</v>
      </c>
      <c r="C18" s="61">
        <v>1</v>
      </c>
      <c r="D18" s="104">
        <v>30000</v>
      </c>
    </row>
    <row r="19" spans="1:4">
      <c r="A19" s="26" t="s">
        <v>107</v>
      </c>
      <c r="B19" s="1" t="s">
        <v>29</v>
      </c>
      <c r="C19" s="60">
        <v>1</v>
      </c>
      <c r="D19" s="111">
        <v>6000</v>
      </c>
    </row>
    <row r="20" spans="1:4" s="1" customFormat="1" ht="15">
      <c r="A20" s="30" t="s">
        <v>129</v>
      </c>
      <c r="B20" s="130" t="s">
        <v>29</v>
      </c>
      <c r="C20" s="31">
        <v>1</v>
      </c>
      <c r="D20" s="102">
        <v>9000</v>
      </c>
    </row>
    <row r="21" spans="1:4" s="6" customFormat="1">
      <c r="A21" s="64" t="s">
        <v>146</v>
      </c>
      <c r="C21" s="9"/>
      <c r="D21" s="115">
        <f>SUM(D17:D20)</f>
        <v>75000</v>
      </c>
    </row>
    <row r="22" spans="1:4" s="1" customFormat="1">
      <c r="A22" s="41" t="s">
        <v>95</v>
      </c>
      <c r="B22" s="132"/>
      <c r="C22" s="42"/>
      <c r="D22" s="101"/>
    </row>
    <row r="23" spans="1:4" s="1" customFormat="1">
      <c r="A23" s="67" t="s">
        <v>102</v>
      </c>
      <c r="B23" s="133" t="s">
        <v>161</v>
      </c>
      <c r="C23" s="27">
        <v>1</v>
      </c>
      <c r="D23" s="116">
        <v>110000</v>
      </c>
    </row>
    <row r="24" spans="1:4" s="1" customFormat="1">
      <c r="A24" s="70" t="s">
        <v>96</v>
      </c>
      <c r="B24" s="134" t="s">
        <v>162</v>
      </c>
      <c r="C24" s="31">
        <v>1</v>
      </c>
      <c r="D24" s="117">
        <v>300000</v>
      </c>
    </row>
    <row r="25" spans="1:4" s="1" customFormat="1">
      <c r="A25" s="67" t="s">
        <v>100</v>
      </c>
      <c r="B25" s="133" t="s">
        <v>162</v>
      </c>
      <c r="C25" s="27">
        <v>1</v>
      </c>
      <c r="D25" s="116">
        <v>30000</v>
      </c>
    </row>
    <row r="26" spans="1:4" s="1" customFormat="1">
      <c r="A26" s="70" t="s">
        <v>99</v>
      </c>
      <c r="B26" s="134" t="s">
        <v>162</v>
      </c>
      <c r="C26" s="31">
        <v>1</v>
      </c>
      <c r="D26" s="117">
        <v>11000</v>
      </c>
    </row>
    <row r="27" spans="1:4" s="1" customFormat="1">
      <c r="A27" s="67" t="s">
        <v>98</v>
      </c>
      <c r="B27" s="133" t="s">
        <v>162</v>
      </c>
      <c r="C27" s="27">
        <v>1</v>
      </c>
      <c r="D27" s="118">
        <v>35000</v>
      </c>
    </row>
    <row r="28" spans="1:4" s="1" customFormat="1">
      <c r="A28" s="70" t="s">
        <v>101</v>
      </c>
      <c r="B28" s="134" t="s">
        <v>22</v>
      </c>
      <c r="C28" s="31">
        <v>2</v>
      </c>
      <c r="D28" s="117">
        <v>40000</v>
      </c>
    </row>
    <row r="29" spans="1:4" s="1" customFormat="1" ht="15">
      <c r="A29" s="67" t="s">
        <v>97</v>
      </c>
      <c r="B29" s="133" t="s">
        <v>162</v>
      </c>
      <c r="C29" s="27">
        <v>2</v>
      </c>
      <c r="D29" s="119">
        <v>1000000</v>
      </c>
    </row>
    <row r="30" spans="1:4" s="6" customFormat="1">
      <c r="A30" s="73" t="s">
        <v>146</v>
      </c>
      <c r="B30" s="135"/>
      <c r="C30" s="38"/>
      <c r="D30" s="120">
        <f>SUM(D23:D29)</f>
        <v>1526000</v>
      </c>
    </row>
    <row r="31" spans="1:4" s="10" customFormat="1">
      <c r="A31" s="74" t="s">
        <v>19</v>
      </c>
      <c r="B31" s="136"/>
      <c r="C31" s="18"/>
      <c r="D31" s="121"/>
    </row>
    <row r="32" spans="1:4" s="1" customFormat="1">
      <c r="A32" s="26" t="s">
        <v>134</v>
      </c>
      <c r="B32" s="1" t="s">
        <v>22</v>
      </c>
      <c r="C32" s="27">
        <v>1</v>
      </c>
      <c r="D32" s="96">
        <v>285000</v>
      </c>
    </row>
    <row r="33" spans="1:4" s="1" customFormat="1">
      <c r="A33" s="30" t="s">
        <v>31</v>
      </c>
      <c r="B33" s="130" t="s">
        <v>29</v>
      </c>
      <c r="C33" s="61">
        <v>1</v>
      </c>
      <c r="D33" s="97">
        <v>300000</v>
      </c>
    </row>
    <row r="34" spans="1:4">
      <c r="A34" s="26" t="s">
        <v>33</v>
      </c>
      <c r="B34" s="1" t="s">
        <v>29</v>
      </c>
      <c r="C34" s="27">
        <v>1</v>
      </c>
      <c r="D34" s="98">
        <v>50000</v>
      </c>
    </row>
    <row r="35" spans="1:4" ht="15">
      <c r="A35" s="30" t="s">
        <v>135</v>
      </c>
      <c r="B35" s="130" t="s">
        <v>29</v>
      </c>
      <c r="C35" s="31">
        <v>1</v>
      </c>
      <c r="D35" s="102">
        <v>15000</v>
      </c>
    </row>
    <row r="36" spans="1:4" ht="13.5" thickBot="1">
      <c r="A36" s="80" t="s">
        <v>146</v>
      </c>
      <c r="B36" s="137"/>
      <c r="C36" s="81"/>
      <c r="D36" s="122">
        <f>SUM(D32:D35)</f>
        <v>650000</v>
      </c>
    </row>
    <row r="37" spans="1:4" ht="14.25" thickTop="1" thickBot="1">
      <c r="A37" s="6"/>
      <c r="B37" s="6"/>
      <c r="C37" s="9"/>
      <c r="D37" s="11"/>
    </row>
    <row r="38" spans="1:4" ht="14.25" thickTop="1" thickBot="1">
      <c r="A38" s="340" t="s">
        <v>154</v>
      </c>
      <c r="B38" s="341"/>
      <c r="C38" s="341"/>
      <c r="D38" s="341"/>
    </row>
    <row r="39" spans="1:4" s="3" customFormat="1" ht="13.5" thickTop="1">
      <c r="A39" s="17" t="s">
        <v>144</v>
      </c>
      <c r="B39" s="18"/>
      <c r="C39" s="18"/>
      <c r="D39" s="94" t="s">
        <v>146</v>
      </c>
    </row>
    <row r="40" spans="1:4">
      <c r="A40" s="41" t="s">
        <v>53</v>
      </c>
      <c r="B40" s="132"/>
      <c r="C40" s="18" t="s">
        <v>3</v>
      </c>
      <c r="D40" s="95" t="s">
        <v>145</v>
      </c>
    </row>
    <row r="41" spans="1:4" s="1" customFormat="1">
      <c r="A41" s="26" t="s">
        <v>84</v>
      </c>
      <c r="B41" s="1" t="s">
        <v>162</v>
      </c>
      <c r="C41" s="27">
        <v>1</v>
      </c>
      <c r="D41" s="96">
        <v>1000000</v>
      </c>
    </row>
    <row r="42" spans="1:4" s="1" customFormat="1">
      <c r="A42" s="30" t="s">
        <v>77</v>
      </c>
      <c r="B42" s="130" t="s">
        <v>162</v>
      </c>
      <c r="C42" s="31">
        <v>1</v>
      </c>
      <c r="D42" s="97">
        <v>1000000</v>
      </c>
    </row>
    <row r="43" spans="1:4" s="1" customFormat="1">
      <c r="A43" s="26" t="s">
        <v>81</v>
      </c>
      <c r="B43" s="1" t="s">
        <v>162</v>
      </c>
      <c r="C43" s="27">
        <v>1</v>
      </c>
      <c r="D43" s="96">
        <v>25000</v>
      </c>
    </row>
    <row r="44" spans="1:4" s="1" customFormat="1" ht="15" customHeight="1">
      <c r="A44" s="30" t="s">
        <v>80</v>
      </c>
      <c r="B44" s="130" t="s">
        <v>162</v>
      </c>
      <c r="C44" s="31">
        <v>1</v>
      </c>
      <c r="D44" s="97">
        <v>45000</v>
      </c>
    </row>
    <row r="45" spans="1:4" s="1" customFormat="1">
      <c r="A45" s="26" t="s">
        <v>22</v>
      </c>
      <c r="B45" s="1" t="s">
        <v>22</v>
      </c>
      <c r="C45" s="27">
        <v>1</v>
      </c>
      <c r="D45" s="96">
        <v>453000</v>
      </c>
    </row>
    <row r="46" spans="1:4">
      <c r="A46" s="30" t="s">
        <v>127</v>
      </c>
      <c r="B46" s="130" t="s">
        <v>29</v>
      </c>
      <c r="C46" s="84">
        <v>1</v>
      </c>
      <c r="D46" s="97">
        <v>36500</v>
      </c>
    </row>
    <row r="47" spans="1:4">
      <c r="A47" s="26" t="s">
        <v>74</v>
      </c>
      <c r="B47" s="1" t="s">
        <v>29</v>
      </c>
      <c r="C47" s="7">
        <v>1</v>
      </c>
      <c r="D47" s="98">
        <v>12500</v>
      </c>
    </row>
    <row r="48" spans="1:4">
      <c r="A48" s="30" t="s">
        <v>73</v>
      </c>
      <c r="B48" s="130" t="s">
        <v>162</v>
      </c>
      <c r="C48" s="84">
        <v>1</v>
      </c>
      <c r="D48" s="97">
        <v>60000</v>
      </c>
    </row>
    <row r="49" spans="1:4">
      <c r="A49" s="26" t="s">
        <v>140</v>
      </c>
      <c r="B49" s="1" t="s">
        <v>29</v>
      </c>
      <c r="C49" s="27">
        <v>2</v>
      </c>
      <c r="D49" s="98">
        <v>45000</v>
      </c>
    </row>
    <row r="50" spans="1:4" s="1" customFormat="1">
      <c r="A50" s="30" t="s">
        <v>141</v>
      </c>
      <c r="B50" s="130" t="s">
        <v>29</v>
      </c>
      <c r="C50" s="31">
        <v>2</v>
      </c>
      <c r="D50" s="97">
        <v>33000</v>
      </c>
    </row>
    <row r="51" spans="1:4" s="1" customFormat="1" ht="15">
      <c r="A51" s="26" t="s">
        <v>83</v>
      </c>
      <c r="B51" s="1" t="s">
        <v>162</v>
      </c>
      <c r="C51" s="27">
        <v>2</v>
      </c>
      <c r="D51" s="99">
        <v>120000</v>
      </c>
    </row>
    <row r="52" spans="1:4" s="6" customFormat="1">
      <c r="A52" s="37" t="s">
        <v>146</v>
      </c>
      <c r="B52" s="131"/>
      <c r="C52" s="38"/>
      <c r="D52" s="100">
        <f>SUM(D41:D51)</f>
        <v>2830000</v>
      </c>
    </row>
    <row r="53" spans="1:4">
      <c r="A53" s="41" t="s">
        <v>38</v>
      </c>
      <c r="B53" s="132"/>
      <c r="C53" s="85"/>
      <c r="D53" s="101"/>
    </row>
    <row r="54" spans="1:4" s="1" customFormat="1">
      <c r="A54" s="26" t="s">
        <v>72</v>
      </c>
      <c r="B54" s="1" t="s">
        <v>162</v>
      </c>
      <c r="C54" s="27">
        <v>1</v>
      </c>
      <c r="D54" s="98">
        <v>1200000</v>
      </c>
    </row>
    <row r="55" spans="1:4" s="1" customFormat="1">
      <c r="A55" s="30" t="s">
        <v>47</v>
      </c>
      <c r="B55" s="130" t="s">
        <v>162</v>
      </c>
      <c r="C55" s="31">
        <v>1</v>
      </c>
      <c r="D55" s="97">
        <v>250000</v>
      </c>
    </row>
    <row r="56" spans="1:4">
      <c r="A56" s="26" t="s">
        <v>143</v>
      </c>
      <c r="B56" s="1" t="s">
        <v>162</v>
      </c>
      <c r="C56" s="7">
        <v>1</v>
      </c>
      <c r="D56" s="98">
        <v>90000</v>
      </c>
    </row>
    <row r="57" spans="1:4" s="1" customFormat="1">
      <c r="A57" s="30" t="s">
        <v>41</v>
      </c>
      <c r="B57" s="130" t="s">
        <v>161</v>
      </c>
      <c r="C57" s="31">
        <v>1</v>
      </c>
      <c r="D57" s="97">
        <v>50000</v>
      </c>
    </row>
    <row r="58" spans="1:4" s="1" customFormat="1">
      <c r="A58" s="26" t="s">
        <v>142</v>
      </c>
      <c r="B58" s="1" t="s">
        <v>162</v>
      </c>
      <c r="C58" s="27">
        <v>1</v>
      </c>
      <c r="D58" s="98">
        <v>350000</v>
      </c>
    </row>
    <row r="59" spans="1:4" s="1" customFormat="1" ht="15">
      <c r="A59" s="30" t="s">
        <v>142</v>
      </c>
      <c r="B59" s="130" t="s">
        <v>162</v>
      </c>
      <c r="C59" s="31">
        <v>2</v>
      </c>
      <c r="D59" s="102">
        <v>370000</v>
      </c>
    </row>
    <row r="60" spans="1:4" s="6" customFormat="1">
      <c r="A60" s="64" t="s">
        <v>146</v>
      </c>
      <c r="C60" s="9"/>
      <c r="D60" s="103">
        <f>SUM(D54:D59)</f>
        <v>2310000</v>
      </c>
    </row>
    <row r="61" spans="1:4">
      <c r="A61" s="41" t="s">
        <v>109</v>
      </c>
      <c r="B61" s="132"/>
      <c r="C61" s="42"/>
      <c r="D61" s="101"/>
    </row>
    <row r="62" spans="1:4" s="1" customFormat="1">
      <c r="A62" s="26" t="s">
        <v>110</v>
      </c>
      <c r="B62" s="1" t="s">
        <v>29</v>
      </c>
      <c r="C62" s="27">
        <v>1</v>
      </c>
      <c r="D62" s="98">
        <v>150000</v>
      </c>
    </row>
    <row r="63" spans="1:4" s="1" customFormat="1">
      <c r="A63" s="30" t="s">
        <v>114</v>
      </c>
      <c r="B63" s="130" t="s">
        <v>162</v>
      </c>
      <c r="C63" s="31">
        <v>1</v>
      </c>
      <c r="D63" s="104">
        <v>430000</v>
      </c>
    </row>
    <row r="64" spans="1:4" s="1" customFormat="1">
      <c r="A64" s="26" t="s">
        <v>159</v>
      </c>
      <c r="B64" s="1" t="s">
        <v>160</v>
      </c>
      <c r="C64" s="27">
        <v>2</v>
      </c>
      <c r="D64" s="98">
        <v>1750000</v>
      </c>
    </row>
    <row r="65" spans="1:4" s="1" customFormat="1" ht="15">
      <c r="A65" s="30" t="s">
        <v>111</v>
      </c>
      <c r="B65" s="130" t="s">
        <v>162</v>
      </c>
      <c r="C65" s="31">
        <v>2</v>
      </c>
      <c r="D65" s="102">
        <v>50000</v>
      </c>
    </row>
    <row r="66" spans="1:4" s="6" customFormat="1">
      <c r="A66" s="64" t="s">
        <v>146</v>
      </c>
      <c r="C66" s="9"/>
      <c r="D66" s="103">
        <f>SUM(D62:D65)</f>
        <v>2380000</v>
      </c>
    </row>
    <row r="67" spans="1:4" s="1" customFormat="1">
      <c r="A67" s="41" t="s">
        <v>49</v>
      </c>
      <c r="B67" s="132"/>
      <c r="C67" s="42"/>
      <c r="D67" s="101"/>
    </row>
    <row r="68" spans="1:4" s="1" customFormat="1">
      <c r="A68" s="26" t="s">
        <v>50</v>
      </c>
      <c r="B68" s="1" t="s">
        <v>162</v>
      </c>
      <c r="C68" s="27">
        <v>1</v>
      </c>
      <c r="D68" s="96">
        <v>400000</v>
      </c>
    </row>
    <row r="69" spans="1:4" s="1" customFormat="1">
      <c r="A69" s="30" t="s">
        <v>61</v>
      </c>
      <c r="B69" s="130" t="s">
        <v>162</v>
      </c>
      <c r="C69" s="31">
        <v>1</v>
      </c>
      <c r="D69" s="97">
        <v>950000</v>
      </c>
    </row>
    <row r="70" spans="1:4" s="1" customFormat="1">
      <c r="A70" s="67" t="s">
        <v>132</v>
      </c>
      <c r="B70" s="133" t="s">
        <v>161</v>
      </c>
      <c r="C70" s="27">
        <v>1</v>
      </c>
      <c r="D70" s="96">
        <v>240000</v>
      </c>
    </row>
    <row r="71" spans="1:4" s="1" customFormat="1" ht="12.75" customHeight="1">
      <c r="A71" s="70" t="s">
        <v>157</v>
      </c>
      <c r="B71" s="134" t="s">
        <v>162</v>
      </c>
      <c r="C71" s="31">
        <v>1</v>
      </c>
      <c r="D71" s="97">
        <v>400000</v>
      </c>
    </row>
    <row r="72" spans="1:4" s="1" customFormat="1">
      <c r="A72" s="26" t="s">
        <v>130</v>
      </c>
      <c r="B72" s="1" t="s">
        <v>162</v>
      </c>
      <c r="C72" s="27">
        <v>1</v>
      </c>
      <c r="D72" s="98">
        <v>40000</v>
      </c>
    </row>
    <row r="73" spans="1:4" s="1" customFormat="1">
      <c r="A73" s="70" t="s">
        <v>128</v>
      </c>
      <c r="B73" s="134" t="s">
        <v>29</v>
      </c>
      <c r="C73" s="31">
        <v>1</v>
      </c>
      <c r="D73" s="97">
        <v>40000</v>
      </c>
    </row>
    <row r="74" spans="1:4" s="1" customFormat="1">
      <c r="A74" s="26" t="s">
        <v>62</v>
      </c>
      <c r="B74" s="1" t="s">
        <v>162</v>
      </c>
      <c r="C74" s="27">
        <v>1</v>
      </c>
      <c r="D74" s="96">
        <v>100000</v>
      </c>
    </row>
    <row r="75" spans="1:4" s="1" customFormat="1">
      <c r="A75" s="30" t="s">
        <v>58</v>
      </c>
      <c r="B75" s="130" t="s">
        <v>162</v>
      </c>
      <c r="C75" s="31">
        <v>2</v>
      </c>
      <c r="D75" s="97">
        <v>120000</v>
      </c>
    </row>
    <row r="76" spans="1:4" s="1" customFormat="1">
      <c r="A76" s="26" t="s">
        <v>131</v>
      </c>
      <c r="B76" s="1" t="s">
        <v>161</v>
      </c>
      <c r="C76" s="27">
        <v>2</v>
      </c>
      <c r="D76" s="98">
        <v>30000</v>
      </c>
    </row>
    <row r="77" spans="1:4" s="1" customFormat="1" ht="12.75" customHeight="1">
      <c r="A77" s="30" t="s">
        <v>158</v>
      </c>
      <c r="B77" s="130" t="s">
        <v>161</v>
      </c>
      <c r="C77" s="61">
        <v>2</v>
      </c>
      <c r="D77" s="105">
        <v>50000</v>
      </c>
    </row>
    <row r="78" spans="1:4" s="6" customFormat="1">
      <c r="A78" s="89" t="s">
        <v>146</v>
      </c>
      <c r="B78" s="138"/>
      <c r="C78" s="9"/>
      <c r="D78" s="106">
        <f>SUM(D68:D77)</f>
        <v>2370000</v>
      </c>
    </row>
    <row r="79" spans="1:4" s="3" customFormat="1">
      <c r="A79" s="17"/>
      <c r="B79" s="18"/>
      <c r="C79" s="18"/>
      <c r="D79" s="107" t="s">
        <v>146</v>
      </c>
    </row>
    <row r="80" spans="1:4">
      <c r="A80" s="41"/>
      <c r="B80" s="132"/>
      <c r="C80" s="18"/>
      <c r="D80" s="95" t="s">
        <v>145</v>
      </c>
    </row>
    <row r="81" spans="1:5" ht="13.5" thickBot="1">
      <c r="A81" s="90" t="s">
        <v>156</v>
      </c>
      <c r="B81" s="139"/>
      <c r="C81" s="91"/>
      <c r="D81" s="108">
        <f>D5+D8+D15+D21+D30+D36+D52+D60+D66+D78</f>
        <v>13534450</v>
      </c>
      <c r="E81" s="12"/>
    </row>
    <row r="82" spans="1:5" ht="13.5" thickTop="1">
      <c r="D82" s="13"/>
    </row>
    <row r="86" spans="1:5">
      <c r="B86" s="7"/>
      <c r="C86" s="2"/>
    </row>
    <row r="87" spans="1:5">
      <c r="A87" s="2" t="s">
        <v>87</v>
      </c>
      <c r="B87" s="125">
        <v>194250</v>
      </c>
      <c r="C87" s="128">
        <f>B87/$B$97</f>
        <v>1.435226403732697E-2</v>
      </c>
    </row>
    <row r="88" spans="1:5">
      <c r="A88" s="2" t="s">
        <v>103</v>
      </c>
      <c r="B88" s="125">
        <v>40000</v>
      </c>
      <c r="C88" s="128">
        <f t="shared" ref="C88:C96" si="0">B88/$B$97</f>
        <v>2.9554211659875355E-3</v>
      </c>
    </row>
    <row r="89" spans="1:5">
      <c r="A89" s="2" t="s">
        <v>136</v>
      </c>
      <c r="B89" s="125">
        <v>1159200</v>
      </c>
      <c r="C89" s="128">
        <f t="shared" si="0"/>
        <v>8.5648105390318779E-2</v>
      </c>
    </row>
    <row r="90" spans="1:5">
      <c r="A90" s="2" t="s">
        <v>89</v>
      </c>
      <c r="B90" s="125">
        <v>75000</v>
      </c>
      <c r="C90" s="128">
        <f t="shared" si="0"/>
        <v>5.5414146862266291E-3</v>
      </c>
    </row>
    <row r="91" spans="1:5">
      <c r="A91" s="2" t="s">
        <v>95</v>
      </c>
      <c r="B91" s="125">
        <v>1526000</v>
      </c>
      <c r="C91" s="128">
        <f t="shared" si="0"/>
        <v>0.11274931748242448</v>
      </c>
    </row>
    <row r="92" spans="1:5">
      <c r="A92" s="2" t="s">
        <v>19</v>
      </c>
      <c r="B92" s="125">
        <v>650000</v>
      </c>
      <c r="C92" s="128">
        <f t="shared" si="0"/>
        <v>4.8025593947297454E-2</v>
      </c>
    </row>
    <row r="93" spans="1:5">
      <c r="A93" s="2" t="s">
        <v>53</v>
      </c>
      <c r="B93" s="125">
        <v>2830000</v>
      </c>
      <c r="C93" s="128">
        <f t="shared" si="0"/>
        <v>0.20909604749361813</v>
      </c>
    </row>
    <row r="94" spans="1:5">
      <c r="A94" s="2" t="s">
        <v>38</v>
      </c>
      <c r="B94" s="125">
        <v>2310000</v>
      </c>
      <c r="C94" s="128">
        <f t="shared" si="0"/>
        <v>0.17067557233578018</v>
      </c>
    </row>
    <row r="95" spans="1:5">
      <c r="A95" s="2" t="s">
        <v>109</v>
      </c>
      <c r="B95" s="125">
        <v>2380000</v>
      </c>
      <c r="C95" s="128">
        <f t="shared" si="0"/>
        <v>0.17584755937625837</v>
      </c>
    </row>
    <row r="96" spans="1:5">
      <c r="A96" s="2" t="s">
        <v>49</v>
      </c>
      <c r="B96" s="125">
        <v>2370000</v>
      </c>
      <c r="C96" s="128">
        <f t="shared" si="0"/>
        <v>0.17510870408476148</v>
      </c>
    </row>
    <row r="97" spans="1:4">
      <c r="B97" s="126">
        <f>SUM(B87:B96)</f>
        <v>13534450</v>
      </c>
      <c r="C97" s="127">
        <v>1</v>
      </c>
    </row>
    <row r="98" spans="1:4">
      <c r="B98" s="7"/>
      <c r="C98" s="2"/>
    </row>
    <row r="99" spans="1:4" s="16" customFormat="1">
      <c r="A99" s="2"/>
      <c r="B99" s="2"/>
      <c r="C99" s="7"/>
      <c r="D99" s="2"/>
    </row>
    <row r="100" spans="1:4" s="16" customFormat="1">
      <c r="A100" s="2"/>
      <c r="B100" s="2"/>
      <c r="C100" s="7"/>
      <c r="D100" s="2"/>
    </row>
    <row r="101" spans="1:4" s="16" customFormat="1">
      <c r="A101" s="2"/>
      <c r="B101" s="2"/>
      <c r="C101" s="7"/>
      <c r="D101" s="2"/>
    </row>
    <row r="102" spans="1:4" s="16" customFormat="1">
      <c r="A102" s="2"/>
      <c r="B102" s="2"/>
      <c r="C102" s="7"/>
      <c r="D102" s="2"/>
    </row>
    <row r="104" spans="1:4" s="16" customFormat="1">
      <c r="A104" s="2"/>
      <c r="B104" s="2"/>
      <c r="C104" s="7"/>
      <c r="D104" s="2"/>
    </row>
  </sheetData>
  <mergeCells count="1">
    <mergeCell ref="A38:D3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54BC7-1F73-437B-86DC-F54591782DF1}">
  <sheetPr>
    <tabColor rgb="FFFF0000"/>
    <pageSetUpPr fitToPage="1"/>
  </sheetPr>
  <dimension ref="A1:I77"/>
  <sheetViews>
    <sheetView workbookViewId="0">
      <selection sqref="A1:H1"/>
    </sheetView>
  </sheetViews>
  <sheetFormatPr defaultColWidth="9.140625" defaultRowHeight="12.75"/>
  <cols>
    <col min="1" max="1" width="29.5703125" style="2" customWidth="1"/>
    <col min="2" max="2" width="6.85546875" style="7" bestFit="1" customWidth="1"/>
    <col min="3" max="4" width="11" style="2" customWidth="1"/>
    <col min="5" max="5" width="9.5703125" style="16" customWidth="1"/>
    <col min="6" max="6" width="10" style="16" customWidth="1"/>
    <col min="7" max="7" width="11" style="16" customWidth="1"/>
    <col min="8" max="8" width="11" style="2" customWidth="1"/>
    <col min="9" max="9" width="11.7109375" style="2" bestFit="1" customWidth="1"/>
    <col min="10" max="16384" width="9.140625" style="2"/>
  </cols>
  <sheetData>
    <row r="1" spans="1:8" ht="16.5" customHeight="1" thickTop="1" thickBot="1">
      <c r="A1" s="342" t="s">
        <v>223</v>
      </c>
      <c r="B1" s="343"/>
      <c r="C1" s="343"/>
      <c r="D1" s="343"/>
      <c r="E1" s="343"/>
      <c r="F1" s="343"/>
      <c r="G1" s="343"/>
      <c r="H1" s="344"/>
    </row>
    <row r="2" spans="1:8" s="3" customFormat="1" ht="12.75" customHeight="1" thickTop="1">
      <c r="A2" s="17" t="s">
        <v>144</v>
      </c>
      <c r="B2" s="18"/>
      <c r="C2" s="94" t="s">
        <v>146</v>
      </c>
      <c r="D2" s="19" t="s">
        <v>126</v>
      </c>
      <c r="E2" s="20" t="s">
        <v>20</v>
      </c>
      <c r="F2" s="20" t="s">
        <v>149</v>
      </c>
      <c r="G2" s="20" t="s">
        <v>151</v>
      </c>
      <c r="H2" s="21" t="s">
        <v>27</v>
      </c>
    </row>
    <row r="3" spans="1:8" s="3" customFormat="1">
      <c r="A3" s="17"/>
      <c r="B3" s="18"/>
      <c r="C3" s="107" t="s">
        <v>216</v>
      </c>
      <c r="D3" s="19" t="s">
        <v>217</v>
      </c>
      <c r="E3" s="20" t="s">
        <v>218</v>
      </c>
      <c r="F3" s="20" t="s">
        <v>218</v>
      </c>
      <c r="G3" s="20" t="s">
        <v>220</v>
      </c>
      <c r="H3" s="21" t="s">
        <v>219</v>
      </c>
    </row>
    <row r="4" spans="1:8" s="1" customFormat="1" ht="15" customHeight="1">
      <c r="A4" s="22" t="s">
        <v>136</v>
      </c>
      <c r="B4" s="18" t="s">
        <v>3</v>
      </c>
      <c r="C4" s="95" t="s">
        <v>221</v>
      </c>
      <c r="D4" s="24" t="s">
        <v>152</v>
      </c>
      <c r="E4" s="23" t="s">
        <v>200</v>
      </c>
      <c r="F4" s="23" t="s">
        <v>152</v>
      </c>
      <c r="G4" s="23" t="s">
        <v>222</v>
      </c>
      <c r="H4" s="25" t="s">
        <v>148</v>
      </c>
    </row>
    <row r="5" spans="1:8">
      <c r="A5" s="26" t="s">
        <v>198</v>
      </c>
      <c r="B5" s="7">
        <v>1</v>
      </c>
      <c r="C5" s="96">
        <v>75000</v>
      </c>
      <c r="D5" s="49">
        <v>0</v>
      </c>
      <c r="E5" s="49">
        <v>71923</v>
      </c>
      <c r="F5" s="49">
        <v>0</v>
      </c>
      <c r="G5" s="49">
        <v>0</v>
      </c>
      <c r="H5" s="50">
        <f>C5-(D5+F5+E5+G5)</f>
        <v>3077</v>
      </c>
    </row>
    <row r="6" spans="1:8" ht="15">
      <c r="A6" s="30" t="s">
        <v>201</v>
      </c>
      <c r="B6" s="31">
        <v>1</v>
      </c>
      <c r="C6" s="102">
        <v>20000</v>
      </c>
      <c r="D6" s="62">
        <v>0</v>
      </c>
      <c r="E6" s="62">
        <v>0</v>
      </c>
      <c r="F6" s="62">
        <v>0</v>
      </c>
      <c r="G6" s="62">
        <v>0</v>
      </c>
      <c r="H6" s="63">
        <f>C6-(D6+F6+E6+G6)</f>
        <v>20000</v>
      </c>
    </row>
    <row r="7" spans="1:8" s="5" customFormat="1">
      <c r="A7" s="64" t="s">
        <v>146</v>
      </c>
      <c r="B7" s="9"/>
      <c r="C7" s="171">
        <f t="shared" ref="C7:H7" si="0">SUM(C5:C6)</f>
        <v>95000</v>
      </c>
      <c r="D7" s="123">
        <f t="shared" si="0"/>
        <v>0</v>
      </c>
      <c r="E7" s="123">
        <f t="shared" si="0"/>
        <v>71923</v>
      </c>
      <c r="F7" s="123">
        <f t="shared" si="0"/>
        <v>0</v>
      </c>
      <c r="G7" s="123">
        <f t="shared" si="0"/>
        <v>0</v>
      </c>
      <c r="H7" s="172">
        <f t="shared" si="0"/>
        <v>23077</v>
      </c>
    </row>
    <row r="8" spans="1:8" s="8" customFormat="1">
      <c r="A8" s="41" t="s">
        <v>89</v>
      </c>
      <c r="B8" s="18"/>
      <c r="C8" s="114"/>
      <c r="D8" s="58"/>
      <c r="E8" s="57"/>
      <c r="F8" s="57"/>
      <c r="G8" s="57"/>
      <c r="H8" s="59"/>
    </row>
    <row r="9" spans="1:8">
      <c r="A9" s="26" t="s">
        <v>105</v>
      </c>
      <c r="B9" s="60">
        <v>1</v>
      </c>
      <c r="C9" s="111">
        <v>28000</v>
      </c>
      <c r="D9" s="49">
        <v>0</v>
      </c>
      <c r="E9" s="49">
        <v>0</v>
      </c>
      <c r="F9" s="49">
        <v>0</v>
      </c>
      <c r="G9" s="49">
        <v>0</v>
      </c>
      <c r="H9" s="50">
        <f>C9-(D9+F9+E9+G9)</f>
        <v>28000</v>
      </c>
    </row>
    <row r="10" spans="1:8">
      <c r="A10" s="30" t="s">
        <v>107</v>
      </c>
      <c r="B10" s="61">
        <v>1</v>
      </c>
      <c r="C10" s="104">
        <v>5000</v>
      </c>
      <c r="D10" s="32">
        <v>0</v>
      </c>
      <c r="E10" s="32">
        <v>0</v>
      </c>
      <c r="F10" s="32">
        <v>0</v>
      </c>
      <c r="G10" s="32">
        <v>0</v>
      </c>
      <c r="H10" s="51">
        <f>C10-(D10+F10+E10+G10)</f>
        <v>5000</v>
      </c>
    </row>
    <row r="11" spans="1:8" ht="15">
      <c r="A11" s="26" t="s">
        <v>187</v>
      </c>
      <c r="B11" s="60">
        <v>1</v>
      </c>
      <c r="C11" s="112">
        <v>20000</v>
      </c>
      <c r="D11" s="34">
        <v>0</v>
      </c>
      <c r="E11" s="34">
        <v>0</v>
      </c>
      <c r="F11" s="34">
        <v>0</v>
      </c>
      <c r="G11" s="34">
        <v>0</v>
      </c>
      <c r="H11" s="54">
        <f>C11-(D11+F11+E11+G11)</f>
        <v>20000</v>
      </c>
    </row>
    <row r="12" spans="1:8" s="6" customFormat="1">
      <c r="A12" s="37" t="s">
        <v>146</v>
      </c>
      <c r="B12" s="38"/>
      <c r="C12" s="100">
        <f t="shared" ref="C12:H12" si="1">SUM(C9:C11)</f>
        <v>53000</v>
      </c>
      <c r="D12" s="39">
        <f t="shared" si="1"/>
        <v>0</v>
      </c>
      <c r="E12" s="39">
        <f t="shared" si="1"/>
        <v>0</v>
      </c>
      <c r="F12" s="39">
        <f t="shared" si="1"/>
        <v>0</v>
      </c>
      <c r="G12" s="39">
        <f t="shared" si="1"/>
        <v>0</v>
      </c>
      <c r="H12" s="40">
        <f t="shared" si="1"/>
        <v>53000</v>
      </c>
    </row>
    <row r="13" spans="1:8" s="1" customFormat="1">
      <c r="A13" s="41" t="s">
        <v>95</v>
      </c>
      <c r="B13" s="42"/>
      <c r="C13" s="101"/>
      <c r="D13" s="44"/>
      <c r="E13" s="44"/>
      <c r="F13" s="44"/>
      <c r="G13" s="44"/>
      <c r="H13" s="45"/>
    </row>
    <row r="14" spans="1:8" s="1" customFormat="1">
      <c r="A14" s="67" t="s">
        <v>102</v>
      </c>
      <c r="B14" s="27">
        <v>1</v>
      </c>
      <c r="C14" s="116">
        <v>110000</v>
      </c>
      <c r="D14" s="68">
        <v>55000</v>
      </c>
      <c r="E14" s="69">
        <v>0</v>
      </c>
      <c r="F14" s="69">
        <v>0</v>
      </c>
      <c r="G14" s="68">
        <v>0</v>
      </c>
      <c r="H14" s="29">
        <f t="shared" ref="H14:H19" si="2">C14-(D14+F14+E14+G14)</f>
        <v>55000</v>
      </c>
    </row>
    <row r="15" spans="1:8" s="1" customFormat="1">
      <c r="A15" s="70" t="s">
        <v>188</v>
      </c>
      <c r="B15" s="31">
        <v>1</v>
      </c>
      <c r="C15" s="117">
        <v>45000</v>
      </c>
      <c r="D15" s="53">
        <v>0</v>
      </c>
      <c r="E15" s="53">
        <v>0</v>
      </c>
      <c r="F15" s="71">
        <v>0</v>
      </c>
      <c r="G15" s="71">
        <v>0</v>
      </c>
      <c r="H15" s="33">
        <f t="shared" si="2"/>
        <v>45000</v>
      </c>
    </row>
    <row r="16" spans="1:8" s="1" customFormat="1">
      <c r="A16" s="67" t="s">
        <v>100</v>
      </c>
      <c r="B16" s="27">
        <v>1</v>
      </c>
      <c r="C16" s="116">
        <v>30000</v>
      </c>
      <c r="D16" s="49">
        <v>0</v>
      </c>
      <c r="E16" s="69">
        <v>0</v>
      </c>
      <c r="F16" s="69">
        <v>0</v>
      </c>
      <c r="G16" s="68">
        <v>0</v>
      </c>
      <c r="H16" s="29">
        <f t="shared" si="2"/>
        <v>30000</v>
      </c>
    </row>
    <row r="17" spans="1:8" s="1" customFormat="1">
      <c r="A17" s="70" t="s">
        <v>98</v>
      </c>
      <c r="B17" s="31">
        <v>1</v>
      </c>
      <c r="C17" s="117">
        <v>245000</v>
      </c>
      <c r="D17" s="53">
        <v>0</v>
      </c>
      <c r="E17" s="32">
        <v>0</v>
      </c>
      <c r="F17" s="53">
        <v>0</v>
      </c>
      <c r="G17" s="71">
        <v>0</v>
      </c>
      <c r="H17" s="33">
        <f t="shared" si="2"/>
        <v>245000</v>
      </c>
    </row>
    <row r="18" spans="1:8" s="1" customFormat="1">
      <c r="A18" s="67" t="s">
        <v>189</v>
      </c>
      <c r="B18" s="27">
        <v>1</v>
      </c>
      <c r="C18" s="118">
        <v>15000</v>
      </c>
      <c r="D18" s="52">
        <v>0</v>
      </c>
      <c r="E18" s="72">
        <v>0</v>
      </c>
      <c r="F18" s="52">
        <v>0</v>
      </c>
      <c r="G18" s="72">
        <v>0</v>
      </c>
      <c r="H18" s="77">
        <f t="shared" si="2"/>
        <v>15000</v>
      </c>
    </row>
    <row r="19" spans="1:8" s="1" customFormat="1" ht="15">
      <c r="A19" s="70" t="s">
        <v>97</v>
      </c>
      <c r="B19" s="31">
        <v>1</v>
      </c>
      <c r="C19" s="160">
        <v>500000</v>
      </c>
      <c r="D19" s="78">
        <v>500000</v>
      </c>
      <c r="E19" s="78">
        <v>0</v>
      </c>
      <c r="F19" s="124">
        <v>0</v>
      </c>
      <c r="G19" s="78">
        <v>0</v>
      </c>
      <c r="H19" s="79">
        <f t="shared" si="2"/>
        <v>0</v>
      </c>
    </row>
    <row r="20" spans="1:8" s="6" customFormat="1">
      <c r="A20" s="89" t="s">
        <v>146</v>
      </c>
      <c r="B20" s="9"/>
      <c r="C20" s="161">
        <f t="shared" ref="C20:H20" si="3">SUM(C14:C19)</f>
        <v>945000</v>
      </c>
      <c r="D20" s="162">
        <f t="shared" si="3"/>
        <v>555000</v>
      </c>
      <c r="E20" s="162">
        <f t="shared" si="3"/>
        <v>0</v>
      </c>
      <c r="F20" s="162">
        <f t="shared" si="3"/>
        <v>0</v>
      </c>
      <c r="G20" s="162">
        <f t="shared" si="3"/>
        <v>0</v>
      </c>
      <c r="H20" s="163">
        <f t="shared" si="3"/>
        <v>390000</v>
      </c>
    </row>
    <row r="21" spans="1:8" s="10" customFormat="1">
      <c r="A21" s="74" t="s">
        <v>19</v>
      </c>
      <c r="B21" s="18"/>
      <c r="C21" s="121"/>
      <c r="D21" s="75"/>
      <c r="E21" s="75"/>
      <c r="F21" s="75"/>
      <c r="G21" s="75"/>
      <c r="H21" s="76"/>
    </row>
    <row r="22" spans="1:8" s="1" customFormat="1">
      <c r="A22" s="26" t="s">
        <v>134</v>
      </c>
      <c r="B22" s="27">
        <v>1</v>
      </c>
      <c r="C22" s="96">
        <v>325000</v>
      </c>
      <c r="D22" s="52">
        <v>0</v>
      </c>
      <c r="E22" s="28">
        <f>153950+67841</f>
        <v>221791</v>
      </c>
      <c r="F22" s="28">
        <v>0</v>
      </c>
      <c r="G22" s="28">
        <v>0</v>
      </c>
      <c r="H22" s="77">
        <f>C22-(D22+F22+E22+G22)</f>
        <v>103209</v>
      </c>
    </row>
    <row r="23" spans="1:8" s="1" customFormat="1">
      <c r="A23" s="30" t="s">
        <v>186</v>
      </c>
      <c r="B23" s="61">
        <v>1</v>
      </c>
      <c r="C23" s="97">
        <v>16000</v>
      </c>
      <c r="D23" s="53">
        <v>0</v>
      </c>
      <c r="E23" s="32">
        <v>16000</v>
      </c>
      <c r="F23" s="32">
        <v>0</v>
      </c>
      <c r="G23" s="32">
        <v>0</v>
      </c>
      <c r="H23" s="33">
        <f>C23-(D23+F23+E23+G23)</f>
        <v>0</v>
      </c>
    </row>
    <row r="24" spans="1:8">
      <c r="A24" s="26" t="s">
        <v>206</v>
      </c>
      <c r="B24" s="27">
        <v>1</v>
      </c>
      <c r="C24" s="98">
        <v>105000</v>
      </c>
      <c r="D24" s="52">
        <v>52500</v>
      </c>
      <c r="E24" s="49">
        <v>0</v>
      </c>
      <c r="F24" s="49">
        <v>0</v>
      </c>
      <c r="G24" s="49">
        <v>0</v>
      </c>
      <c r="H24" s="77">
        <f>C24-(D24+F24+E24+G24)</f>
        <v>52500</v>
      </c>
    </row>
    <row r="25" spans="1:8" ht="15">
      <c r="A25" s="30" t="s">
        <v>185</v>
      </c>
      <c r="B25" s="31">
        <v>1</v>
      </c>
      <c r="C25" s="102">
        <v>62000</v>
      </c>
      <c r="D25" s="78">
        <v>0</v>
      </c>
      <c r="E25" s="62">
        <v>0</v>
      </c>
      <c r="F25" s="62">
        <v>0</v>
      </c>
      <c r="G25" s="62">
        <v>0</v>
      </c>
      <c r="H25" s="79">
        <f>C25-(D25+F25+E25+G25)</f>
        <v>62000</v>
      </c>
    </row>
    <row r="26" spans="1:8" ht="13.5" thickBot="1">
      <c r="A26" s="80" t="s">
        <v>146</v>
      </c>
      <c r="B26" s="81"/>
      <c r="C26" s="103">
        <f t="shared" ref="C26:H26" si="4">SUM(C22:C25)</f>
        <v>508000</v>
      </c>
      <c r="D26" s="82">
        <f t="shared" si="4"/>
        <v>52500</v>
      </c>
      <c r="E26" s="82">
        <f>SUM(E22:E25)</f>
        <v>237791</v>
      </c>
      <c r="F26" s="82">
        <f t="shared" si="4"/>
        <v>0</v>
      </c>
      <c r="G26" s="82">
        <f t="shared" si="4"/>
        <v>0</v>
      </c>
      <c r="H26" s="83">
        <f t="shared" si="4"/>
        <v>217709</v>
      </c>
    </row>
    <row r="27" spans="1:8" ht="13.5" customHeight="1" thickTop="1">
      <c r="A27" s="41" t="s">
        <v>53</v>
      </c>
      <c r="B27" s="18"/>
      <c r="C27" s="95"/>
      <c r="D27" s="24"/>
      <c r="E27" s="23"/>
      <c r="F27" s="23"/>
      <c r="G27" s="23"/>
      <c r="H27" s="25"/>
    </row>
    <row r="28" spans="1:8" s="1" customFormat="1">
      <c r="A28" s="26" t="s">
        <v>84</v>
      </c>
      <c r="B28" s="27">
        <v>1</v>
      </c>
      <c r="C28" s="96">
        <v>900000</v>
      </c>
      <c r="D28" s="28">
        <v>0</v>
      </c>
      <c r="E28" s="28">
        <v>0</v>
      </c>
      <c r="F28" s="28">
        <v>0</v>
      </c>
      <c r="G28" s="28">
        <v>900000</v>
      </c>
      <c r="H28" s="29">
        <f t="shared" ref="H28:H36" si="5">C28-(D28+F28+E28+G28)</f>
        <v>0</v>
      </c>
    </row>
    <row r="29" spans="1:8" s="1" customFormat="1">
      <c r="A29" s="30" t="s">
        <v>77</v>
      </c>
      <c r="B29" s="31">
        <v>1</v>
      </c>
      <c r="C29" s="97">
        <v>2680000</v>
      </c>
      <c r="D29" s="32">
        <v>0</v>
      </c>
      <c r="E29" s="53">
        <v>0</v>
      </c>
      <c r="F29" s="53">
        <v>0</v>
      </c>
      <c r="G29" s="53">
        <v>0</v>
      </c>
      <c r="H29" s="33">
        <f t="shared" si="5"/>
        <v>2680000</v>
      </c>
    </row>
    <row r="30" spans="1:8" s="1" customFormat="1">
      <c r="A30" s="26" t="s">
        <v>22</v>
      </c>
      <c r="B30" s="27">
        <v>1</v>
      </c>
      <c r="C30" s="96">
        <v>515000</v>
      </c>
      <c r="D30" s="28">
        <v>0</v>
      </c>
      <c r="E30" s="28">
        <f>253797+130661+93446</f>
        <v>477904</v>
      </c>
      <c r="F30" s="28">
        <v>0</v>
      </c>
      <c r="G30" s="28">
        <f>20000+(C30-E30-20000)</f>
        <v>37096</v>
      </c>
      <c r="H30" s="29">
        <f t="shared" si="5"/>
        <v>0</v>
      </c>
    </row>
    <row r="31" spans="1:8">
      <c r="A31" s="30" t="s">
        <v>209</v>
      </c>
      <c r="B31" s="165" t="s">
        <v>208</v>
      </c>
      <c r="C31" s="97">
        <v>143000</v>
      </c>
      <c r="D31" s="32">
        <v>0</v>
      </c>
      <c r="E31" s="32">
        <v>0</v>
      </c>
      <c r="F31" s="32">
        <v>0</v>
      </c>
      <c r="G31" s="32">
        <v>143000</v>
      </c>
      <c r="H31" s="33">
        <f t="shared" si="5"/>
        <v>0</v>
      </c>
    </row>
    <row r="32" spans="1:8">
      <c r="A32" s="26" t="s">
        <v>214</v>
      </c>
      <c r="B32" s="164" t="s">
        <v>208</v>
      </c>
      <c r="C32" s="98">
        <v>17500</v>
      </c>
      <c r="D32" s="28"/>
      <c r="E32" s="49"/>
      <c r="F32" s="49"/>
      <c r="G32" s="49">
        <v>17500</v>
      </c>
      <c r="H32" s="29">
        <f t="shared" si="5"/>
        <v>0</v>
      </c>
    </row>
    <row r="33" spans="1:8">
      <c r="A33" s="30" t="s">
        <v>127</v>
      </c>
      <c r="B33" s="84">
        <v>1</v>
      </c>
      <c r="C33" s="97">
        <v>7500</v>
      </c>
      <c r="D33" s="32">
        <v>0</v>
      </c>
      <c r="E33" s="32">
        <v>0</v>
      </c>
      <c r="F33" s="32">
        <v>0</v>
      </c>
      <c r="G33" s="32">
        <v>0</v>
      </c>
      <c r="H33" s="33">
        <f t="shared" si="5"/>
        <v>7500</v>
      </c>
    </row>
    <row r="34" spans="1:8">
      <c r="A34" s="26" t="s">
        <v>194</v>
      </c>
      <c r="B34" s="7">
        <v>1</v>
      </c>
      <c r="C34" s="96">
        <v>30000</v>
      </c>
      <c r="D34" s="28">
        <v>0</v>
      </c>
      <c r="E34" s="28">
        <v>0</v>
      </c>
      <c r="F34" s="28">
        <v>0</v>
      </c>
      <c r="G34" s="28">
        <v>30000</v>
      </c>
      <c r="H34" s="77">
        <f t="shared" si="5"/>
        <v>0</v>
      </c>
    </row>
    <row r="35" spans="1:8" s="1" customFormat="1" ht="15" customHeight="1">
      <c r="A35" s="30" t="s">
        <v>80</v>
      </c>
      <c r="B35" s="31">
        <v>1</v>
      </c>
      <c r="C35" s="97">
        <v>35000</v>
      </c>
      <c r="D35" s="32">
        <v>0</v>
      </c>
      <c r="E35" s="32">
        <v>0</v>
      </c>
      <c r="F35" s="32">
        <v>0</v>
      </c>
      <c r="G35" s="32">
        <v>35000</v>
      </c>
      <c r="H35" s="33">
        <f t="shared" si="5"/>
        <v>0</v>
      </c>
    </row>
    <row r="36" spans="1:8" s="1" customFormat="1" ht="15">
      <c r="A36" s="26" t="s">
        <v>81</v>
      </c>
      <c r="B36" s="27">
        <v>1</v>
      </c>
      <c r="C36" s="99">
        <v>20000</v>
      </c>
      <c r="D36" s="35">
        <v>0</v>
      </c>
      <c r="E36" s="35">
        <v>0</v>
      </c>
      <c r="F36" s="35">
        <v>0</v>
      </c>
      <c r="G36" s="35">
        <v>0</v>
      </c>
      <c r="H36" s="166">
        <f t="shared" si="5"/>
        <v>20000</v>
      </c>
    </row>
    <row r="37" spans="1:8" s="6" customFormat="1">
      <c r="A37" s="37" t="s">
        <v>146</v>
      </c>
      <c r="B37" s="38"/>
      <c r="C37" s="100">
        <f t="shared" ref="C37:H37" si="6">SUM(C28:C36)</f>
        <v>4348000</v>
      </c>
      <c r="D37" s="39">
        <f t="shared" si="6"/>
        <v>0</v>
      </c>
      <c r="E37" s="39">
        <f t="shared" si="6"/>
        <v>477904</v>
      </c>
      <c r="F37" s="39">
        <f t="shared" si="6"/>
        <v>0</v>
      </c>
      <c r="G37" s="39">
        <f t="shared" si="6"/>
        <v>1162596</v>
      </c>
      <c r="H37" s="40">
        <f t="shared" si="6"/>
        <v>2707500</v>
      </c>
    </row>
    <row r="38" spans="1:8">
      <c r="A38" s="41" t="s">
        <v>38</v>
      </c>
      <c r="B38" s="85"/>
      <c r="C38" s="101"/>
      <c r="D38" s="44"/>
      <c r="E38" s="44"/>
      <c r="F38" s="44"/>
      <c r="G38" s="44"/>
      <c r="H38" s="86"/>
    </row>
    <row r="39" spans="1:8" s="1" customFormat="1">
      <c r="A39" s="26" t="s">
        <v>47</v>
      </c>
      <c r="B39" s="27">
        <v>1</v>
      </c>
      <c r="C39" s="96">
        <v>250000</v>
      </c>
      <c r="D39" s="52">
        <v>0</v>
      </c>
      <c r="E39" s="28">
        <v>0</v>
      </c>
      <c r="F39" s="28">
        <v>0</v>
      </c>
      <c r="G39" s="28">
        <v>0</v>
      </c>
      <c r="H39" s="77">
        <f>C39-(D39+F39+E39+G39)</f>
        <v>250000</v>
      </c>
    </row>
    <row r="40" spans="1:8" s="1" customFormat="1">
      <c r="A40" s="30" t="s">
        <v>143</v>
      </c>
      <c r="B40" s="31">
        <v>1</v>
      </c>
      <c r="C40" s="97">
        <v>30000</v>
      </c>
      <c r="D40" s="53">
        <v>0</v>
      </c>
      <c r="E40" s="32">
        <v>0</v>
      </c>
      <c r="F40" s="32">
        <v>0</v>
      </c>
      <c r="G40" s="32">
        <v>0</v>
      </c>
      <c r="H40" s="33">
        <f>C40-(D40+F40+E40+G40)</f>
        <v>30000</v>
      </c>
    </row>
    <row r="41" spans="1:8" s="1" customFormat="1">
      <c r="A41" s="26" t="s">
        <v>43</v>
      </c>
      <c r="B41" s="27">
        <v>1</v>
      </c>
      <c r="C41" s="96">
        <v>420000</v>
      </c>
      <c r="D41" s="52">
        <v>0</v>
      </c>
      <c r="E41" s="28">
        <v>0</v>
      </c>
      <c r="F41" s="28">
        <v>0</v>
      </c>
      <c r="G41" s="28">
        <v>0</v>
      </c>
      <c r="H41" s="77">
        <f>C41-(D41+F41+E41+G41)</f>
        <v>420000</v>
      </c>
    </row>
    <row r="42" spans="1:8" s="1" customFormat="1">
      <c r="A42" s="30" t="s">
        <v>45</v>
      </c>
      <c r="B42" s="31">
        <v>1</v>
      </c>
      <c r="C42" s="97">
        <v>310000</v>
      </c>
      <c r="D42" s="53">
        <v>0</v>
      </c>
      <c r="E42" s="32">
        <v>0</v>
      </c>
      <c r="F42" s="32">
        <v>233091</v>
      </c>
      <c r="G42" s="32">
        <v>0</v>
      </c>
      <c r="H42" s="33">
        <f>C42-(D42+F42+E42+G42)</f>
        <v>76909</v>
      </c>
    </row>
    <row r="43" spans="1:8" ht="15">
      <c r="A43" s="26" t="s">
        <v>41</v>
      </c>
      <c r="B43" s="7">
        <v>1</v>
      </c>
      <c r="C43" s="109">
        <v>30000</v>
      </c>
      <c r="D43" s="35">
        <v>0</v>
      </c>
      <c r="E43" s="34">
        <v>0</v>
      </c>
      <c r="F43" s="34">
        <v>0</v>
      </c>
      <c r="G43" s="34">
        <v>0</v>
      </c>
      <c r="H43" s="36">
        <f>C43-(D43+F43+E43+G43)</f>
        <v>30000</v>
      </c>
    </row>
    <row r="44" spans="1:8" s="6" customFormat="1">
      <c r="A44" s="37" t="s">
        <v>146</v>
      </c>
      <c r="B44" s="38"/>
      <c r="C44" s="100">
        <f t="shared" ref="C44:H44" si="7">SUM(C39:C43)</f>
        <v>1040000</v>
      </c>
      <c r="D44" s="39">
        <f t="shared" si="7"/>
        <v>0</v>
      </c>
      <c r="E44" s="39">
        <f t="shared" si="7"/>
        <v>0</v>
      </c>
      <c r="F44" s="39">
        <f t="shared" si="7"/>
        <v>233091</v>
      </c>
      <c r="G44" s="39">
        <f t="shared" si="7"/>
        <v>0</v>
      </c>
      <c r="H44" s="40">
        <f t="shared" si="7"/>
        <v>806909</v>
      </c>
    </row>
    <row r="45" spans="1:8">
      <c r="A45" s="41" t="s">
        <v>109</v>
      </c>
      <c r="B45" s="42"/>
      <c r="C45" s="101"/>
      <c r="D45" s="44"/>
      <c r="E45" s="44"/>
      <c r="F45" s="44"/>
      <c r="G45" s="44"/>
      <c r="H45" s="86"/>
    </row>
    <row r="46" spans="1:8" s="1" customFormat="1" ht="15">
      <c r="A46" s="26" t="s">
        <v>108</v>
      </c>
      <c r="B46" s="27">
        <v>1</v>
      </c>
      <c r="C46" s="109">
        <v>120000</v>
      </c>
      <c r="D46" s="34">
        <v>76530</v>
      </c>
      <c r="E46" s="34">
        <v>0</v>
      </c>
      <c r="F46" s="34">
        <v>10000</v>
      </c>
      <c r="G46" s="34">
        <v>0</v>
      </c>
      <c r="H46" s="36">
        <f>C46-(D46+F46+E46+G46)</f>
        <v>33470</v>
      </c>
    </row>
    <row r="47" spans="1:8" s="6" customFormat="1">
      <c r="A47" s="64" t="s">
        <v>146</v>
      </c>
      <c r="B47" s="9"/>
      <c r="C47" s="103">
        <f t="shared" ref="C47:H47" si="8">SUM(C46:C46)</f>
        <v>120000</v>
      </c>
      <c r="D47" s="87">
        <f t="shared" si="8"/>
        <v>76530</v>
      </c>
      <c r="E47" s="87">
        <f t="shared" si="8"/>
        <v>0</v>
      </c>
      <c r="F47" s="87">
        <f t="shared" si="8"/>
        <v>10000</v>
      </c>
      <c r="G47" s="87">
        <f t="shared" si="8"/>
        <v>0</v>
      </c>
      <c r="H47" s="88">
        <f t="shared" si="8"/>
        <v>33470</v>
      </c>
    </row>
    <row r="48" spans="1:8" s="1" customFormat="1">
      <c r="A48" s="41" t="s">
        <v>49</v>
      </c>
      <c r="B48" s="42"/>
      <c r="C48" s="101"/>
      <c r="D48" s="43"/>
      <c r="E48" s="44"/>
      <c r="F48" s="44"/>
      <c r="G48" s="44"/>
      <c r="H48" s="45"/>
    </row>
    <row r="49" spans="1:9" s="1" customFormat="1">
      <c r="A49" s="67" t="s">
        <v>132</v>
      </c>
      <c r="B49" s="27">
        <v>1</v>
      </c>
      <c r="C49" s="96">
        <v>100000</v>
      </c>
      <c r="D49" s="28">
        <v>0</v>
      </c>
      <c r="E49" s="28">
        <v>0</v>
      </c>
      <c r="F49" s="28">
        <v>0</v>
      </c>
      <c r="G49" s="28">
        <v>0</v>
      </c>
      <c r="H49" s="29">
        <f>C49-(D49+F49+E49+G49)</f>
        <v>100000</v>
      </c>
    </row>
    <row r="50" spans="1:9" s="1" customFormat="1" ht="25.5">
      <c r="A50" s="70" t="s">
        <v>157</v>
      </c>
      <c r="B50" s="31">
        <v>1</v>
      </c>
      <c r="C50" s="97">
        <v>250000</v>
      </c>
      <c r="D50" s="32">
        <v>0</v>
      </c>
      <c r="E50" s="32">
        <v>0</v>
      </c>
      <c r="F50" s="32">
        <v>168644</v>
      </c>
      <c r="G50" s="32">
        <v>0</v>
      </c>
      <c r="H50" s="33">
        <f>C50-(D50+F50+E50+G50)</f>
        <v>81356</v>
      </c>
    </row>
    <row r="51" spans="1:9" s="1" customFormat="1">
      <c r="A51" s="67" t="s">
        <v>58</v>
      </c>
      <c r="B51" s="27">
        <v>1</v>
      </c>
      <c r="C51" s="96">
        <v>450000</v>
      </c>
      <c r="D51" s="28">
        <v>300000</v>
      </c>
      <c r="E51" s="28">
        <v>0</v>
      </c>
      <c r="F51" s="28">
        <v>0</v>
      </c>
      <c r="G51" s="28">
        <v>0</v>
      </c>
      <c r="H51" s="29">
        <f>C51-(D51+F51+E51+G51)</f>
        <v>150000</v>
      </c>
    </row>
    <row r="52" spans="1:9" s="1" customFormat="1" ht="12.75" customHeight="1">
      <c r="A52" s="70" t="s">
        <v>212</v>
      </c>
      <c r="B52" s="31">
        <v>1</v>
      </c>
      <c r="C52" s="102">
        <v>175000</v>
      </c>
      <c r="D52" s="62">
        <v>138888</v>
      </c>
      <c r="E52" s="62">
        <v>0</v>
      </c>
      <c r="F52" s="62">
        <v>0</v>
      </c>
      <c r="G52" s="62">
        <v>0</v>
      </c>
      <c r="H52" s="79">
        <f>C52-(D52+F52+E52+G52)</f>
        <v>36112</v>
      </c>
    </row>
    <row r="53" spans="1:9" s="6" customFormat="1">
      <c r="A53" s="89" t="s">
        <v>146</v>
      </c>
      <c r="B53" s="9"/>
      <c r="C53" s="171">
        <f t="shared" ref="C53:H53" si="9">SUM(C49:C52)</f>
        <v>975000</v>
      </c>
      <c r="D53" s="123">
        <f t="shared" si="9"/>
        <v>438888</v>
      </c>
      <c r="E53" s="123">
        <f t="shared" si="9"/>
        <v>0</v>
      </c>
      <c r="F53" s="123">
        <f t="shared" si="9"/>
        <v>168644</v>
      </c>
      <c r="G53" s="123">
        <f t="shared" si="9"/>
        <v>0</v>
      </c>
      <c r="H53" s="172">
        <f t="shared" si="9"/>
        <v>367468</v>
      </c>
    </row>
    <row r="54" spans="1:9" ht="23.25" customHeight="1" thickBot="1">
      <c r="A54" s="90" t="s">
        <v>156</v>
      </c>
      <c r="B54" s="91"/>
      <c r="C54" s="168">
        <f t="shared" ref="C54:H54" si="10">C7+C12+C20+C26+C37+C44+C47+C53</f>
        <v>8084000</v>
      </c>
      <c r="D54" s="167">
        <f t="shared" si="10"/>
        <v>1122918</v>
      </c>
      <c r="E54" s="167">
        <f t="shared" si="10"/>
        <v>787618</v>
      </c>
      <c r="F54" s="167">
        <f t="shared" si="10"/>
        <v>411735</v>
      </c>
      <c r="G54" s="167">
        <f t="shared" si="10"/>
        <v>1162596</v>
      </c>
      <c r="H54" s="167">
        <f t="shared" si="10"/>
        <v>4599133</v>
      </c>
      <c r="I54" s="12"/>
    </row>
    <row r="55" spans="1:9" ht="13.5" thickTop="1">
      <c r="C55" s="13"/>
      <c r="D55" s="13"/>
      <c r="E55" s="13"/>
      <c r="F55" s="13"/>
      <c r="G55" s="13"/>
      <c r="H55" s="13"/>
    </row>
    <row r="56" spans="1:9">
      <c r="E56" s="14"/>
      <c r="F56" s="14"/>
      <c r="G56" s="14"/>
      <c r="H56" s="15"/>
    </row>
    <row r="57" spans="1:9">
      <c r="G57" s="2"/>
    </row>
    <row r="58" spans="1:9">
      <c r="C58" s="2" t="s">
        <v>204</v>
      </c>
      <c r="E58" s="2"/>
      <c r="G58" s="2"/>
      <c r="I58" s="2" t="s">
        <v>205</v>
      </c>
    </row>
    <row r="59" spans="1:9" ht="15">
      <c r="A59" s="153" t="s">
        <v>69</v>
      </c>
      <c r="C59" s="16">
        <v>40000</v>
      </c>
      <c r="G59" s="2"/>
      <c r="I59" s="16">
        <v>0</v>
      </c>
    </row>
    <row r="60" spans="1:9" ht="15">
      <c r="A60" s="153" t="s">
        <v>85</v>
      </c>
      <c r="C60" s="16"/>
      <c r="F60" s="2"/>
      <c r="G60" s="2"/>
      <c r="I60" s="16" t="e">
        <f>SUMIF(#REF!,2,#REF!)</f>
        <v>#REF!</v>
      </c>
    </row>
    <row r="61" spans="1:9" ht="15">
      <c r="A61" s="153" t="s">
        <v>104</v>
      </c>
      <c r="C61" s="16"/>
      <c r="F61" s="2"/>
      <c r="G61" s="2"/>
      <c r="I61" s="16" t="e">
        <f>SUMIF(#REF!,2,#REF!)</f>
        <v>#REF!</v>
      </c>
    </row>
    <row r="62" spans="1:9" ht="15">
      <c r="A62" s="153" t="s">
        <v>92</v>
      </c>
      <c r="C62" s="16">
        <f>SUMIF(B5:B6,1,C5:C6)</f>
        <v>95000</v>
      </c>
      <c r="F62" s="2"/>
      <c r="G62" s="2"/>
      <c r="I62" s="16">
        <f>SUMIF(B5:B6,2,C5:C6)</f>
        <v>0</v>
      </c>
    </row>
    <row r="63" spans="1:9" ht="15">
      <c r="A63" s="153" t="s">
        <v>89</v>
      </c>
      <c r="C63" s="16">
        <f>SUMIF(B9:B11,1,C9:C11)</f>
        <v>53000</v>
      </c>
      <c r="F63" s="2"/>
      <c r="G63" s="2"/>
      <c r="I63" s="16">
        <f>SUMIF(B9:B11,2,C9:C11)</f>
        <v>0</v>
      </c>
    </row>
    <row r="64" spans="1:9" ht="15">
      <c r="A64" s="153" t="s">
        <v>95</v>
      </c>
      <c r="C64" s="16">
        <f>SUMIF(B14:B19,1,C14:C19)</f>
        <v>945000</v>
      </c>
      <c r="F64" s="2"/>
      <c r="G64" s="2"/>
      <c r="I64" s="16">
        <f>SUMIF(B14:B19,2,C14:C19)</f>
        <v>0</v>
      </c>
    </row>
    <row r="65" spans="1:9" ht="15">
      <c r="A65" s="153" t="s">
        <v>19</v>
      </c>
      <c r="C65" s="16">
        <f>SUMIF(B22:B25,1,C22:C25)</f>
        <v>508000</v>
      </c>
      <c r="F65" s="2"/>
      <c r="G65" s="2"/>
      <c r="I65" s="16">
        <f>SUMIF(B22:B25,2,C22:C25)</f>
        <v>0</v>
      </c>
    </row>
    <row r="66" spans="1:9" ht="15">
      <c r="A66" s="153" t="s">
        <v>53</v>
      </c>
      <c r="C66" s="16">
        <f>SUMIF(B28:B36,1,C28:C36)</f>
        <v>4348000</v>
      </c>
      <c r="F66" s="2"/>
      <c r="G66" s="2"/>
      <c r="I66" s="16">
        <f>SUMIF(B28:B36,2,C28:C36)</f>
        <v>0</v>
      </c>
    </row>
    <row r="67" spans="1:9" ht="15">
      <c r="A67" s="153" t="s">
        <v>196</v>
      </c>
      <c r="C67" s="16">
        <f>SUMIF(B39:B43,1,C39:C43)</f>
        <v>1040000</v>
      </c>
      <c r="I67" s="16">
        <f>SUMIF(B39:B43,2,C39:C43)</f>
        <v>0</v>
      </c>
    </row>
    <row r="68" spans="1:9" ht="15">
      <c r="A68" s="153" t="s">
        <v>109</v>
      </c>
      <c r="C68" s="16">
        <f>SUMIF(B46:B46,1,C46:C46)</f>
        <v>120000</v>
      </c>
      <c r="I68" s="16">
        <f>SUMIF(B46:B46,2,C46:C46)</f>
        <v>0</v>
      </c>
    </row>
    <row r="69" spans="1:9" ht="15">
      <c r="A69" s="153" t="s">
        <v>49</v>
      </c>
      <c r="C69" s="16">
        <f>SUMIF(B49:B52,1,C49:C52)</f>
        <v>975000</v>
      </c>
      <c r="I69" s="16">
        <f>SUMIF(B49:B52,2,C49:C52)</f>
        <v>0</v>
      </c>
    </row>
    <row r="72" spans="1:9" s="16" customFormat="1">
      <c r="A72" s="2"/>
      <c r="B72" s="7"/>
      <c r="C72" s="2"/>
      <c r="D72" s="2"/>
    </row>
    <row r="73" spans="1:9" s="16" customFormat="1">
      <c r="A73" s="2"/>
      <c r="B73" s="7"/>
      <c r="C73" s="2"/>
      <c r="D73" s="2"/>
    </row>
    <row r="74" spans="1:9" s="16" customFormat="1">
      <c r="A74" s="2"/>
      <c r="B74" s="7"/>
      <c r="C74" s="2"/>
      <c r="D74" s="2"/>
    </row>
    <row r="75" spans="1:9" s="16" customFormat="1">
      <c r="A75" s="2"/>
      <c r="B75" s="7"/>
      <c r="C75" s="2"/>
      <c r="D75" s="2"/>
    </row>
    <row r="77" spans="1:9" s="16" customFormat="1">
      <c r="A77" s="2"/>
      <c r="B77" s="7"/>
      <c r="C77" s="2"/>
      <c r="D77" s="2"/>
    </row>
  </sheetData>
  <autoFilter ref="A2:G54" xr:uid="{636B3E51-F8D7-4F9D-BABE-FBD8BBC8954E}"/>
  <mergeCells count="1">
    <mergeCell ref="A1:H1"/>
  </mergeCells>
  <pageMargins left="0.7" right="0.7" top="0.75" bottom="0.75" header="0.3" footer="0.3"/>
  <pageSetup scale="90" fitToHeight="0" orientation="portrait" r:id="rId1"/>
  <rowBreaks count="1" manualBreakCount="1">
    <brk id="57" max="7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D1AF25-DF7C-4475-85E2-FBC39CDFD6C3}">
  <sheetPr>
    <tabColor rgb="FFFF0000"/>
  </sheetPr>
  <dimension ref="A1:I88"/>
  <sheetViews>
    <sheetView workbookViewId="0">
      <selection sqref="A1:H1"/>
    </sheetView>
  </sheetViews>
  <sheetFormatPr defaultColWidth="9.140625" defaultRowHeight="12.75"/>
  <cols>
    <col min="1" max="1" width="29.140625" style="2" customWidth="1"/>
    <col min="2" max="2" width="6.85546875" style="7" bestFit="1" customWidth="1"/>
    <col min="3" max="3" width="13" style="2" customWidth="1"/>
    <col min="4" max="4" width="12.28515625" style="2" customWidth="1"/>
    <col min="5" max="5" width="11" style="16" hidden="1" customWidth="1"/>
    <col min="6" max="6" width="12.140625" style="16" customWidth="1"/>
    <col min="7" max="7" width="13.7109375" style="16" bestFit="1" customWidth="1"/>
    <col min="8" max="8" width="12" style="2" customWidth="1"/>
    <col min="9" max="9" width="11.7109375" style="2" bestFit="1" customWidth="1"/>
    <col min="10" max="16384" width="9.140625" style="2"/>
  </cols>
  <sheetData>
    <row r="1" spans="1:9" ht="16.5" customHeight="1" thickTop="1" thickBot="1">
      <c r="A1" s="342" t="s">
        <v>224</v>
      </c>
      <c r="B1" s="343"/>
      <c r="C1" s="343"/>
      <c r="D1" s="343"/>
      <c r="E1" s="343"/>
      <c r="F1" s="343"/>
      <c r="G1" s="343"/>
      <c r="H1" s="344"/>
    </row>
    <row r="2" spans="1:9" s="3" customFormat="1" ht="13.5" thickTop="1">
      <c r="A2" s="17" t="s">
        <v>144</v>
      </c>
      <c r="B2" s="18"/>
      <c r="C2" s="94" t="s">
        <v>146</v>
      </c>
      <c r="D2" s="19" t="s">
        <v>126</v>
      </c>
      <c r="E2" s="20" t="s">
        <v>199</v>
      </c>
      <c r="F2" s="20" t="s">
        <v>149</v>
      </c>
      <c r="G2" s="20" t="s">
        <v>151</v>
      </c>
      <c r="H2" s="21" t="s">
        <v>27</v>
      </c>
    </row>
    <row r="3" spans="1:9" s="1" customFormat="1" ht="15" customHeight="1">
      <c r="A3" s="22" t="s">
        <v>87</v>
      </c>
      <c r="B3" s="18" t="s">
        <v>3</v>
      </c>
      <c r="C3" s="95" t="s">
        <v>145</v>
      </c>
      <c r="D3" s="24" t="s">
        <v>147</v>
      </c>
      <c r="E3" s="23" t="s">
        <v>200</v>
      </c>
      <c r="F3" s="23" t="s">
        <v>147</v>
      </c>
      <c r="G3" s="23" t="s">
        <v>150</v>
      </c>
      <c r="H3" s="25" t="s">
        <v>148</v>
      </c>
    </row>
    <row r="4" spans="1:9" s="1" customFormat="1">
      <c r="A4" s="26" t="s">
        <v>88</v>
      </c>
      <c r="B4" s="27">
        <v>2</v>
      </c>
      <c r="C4" s="96">
        <v>550000</v>
      </c>
      <c r="D4" s="28">
        <v>0</v>
      </c>
      <c r="E4" s="28">
        <v>0</v>
      </c>
      <c r="F4" s="28">
        <v>0</v>
      </c>
      <c r="G4" s="28">
        <v>0</v>
      </c>
      <c r="H4" s="29">
        <f>C4-(D4+F4+E4+G4)</f>
        <v>550000</v>
      </c>
    </row>
    <row r="5" spans="1:9" s="1" customFormat="1" ht="15">
      <c r="A5" s="30" t="s">
        <v>90</v>
      </c>
      <c r="B5" s="31">
        <v>2</v>
      </c>
      <c r="C5" s="102">
        <v>35000</v>
      </c>
      <c r="D5" s="62">
        <v>0</v>
      </c>
      <c r="E5" s="62">
        <v>0</v>
      </c>
      <c r="F5" s="62">
        <v>0</v>
      </c>
      <c r="G5" s="62">
        <v>0</v>
      </c>
      <c r="H5" s="79">
        <f>C5-(D5+F5+E5+G5)</f>
        <v>35000</v>
      </c>
    </row>
    <row r="6" spans="1:9" s="5" customFormat="1">
      <c r="A6" s="64" t="s">
        <v>146</v>
      </c>
      <c r="B6" s="9"/>
      <c r="C6" s="115">
        <f t="shared" ref="C6:H6" si="0">SUM(C4:C5)</f>
        <v>585000</v>
      </c>
      <c r="D6" s="65">
        <f t="shared" si="0"/>
        <v>0</v>
      </c>
      <c r="E6" s="65">
        <f t="shared" si="0"/>
        <v>0</v>
      </c>
      <c r="F6" s="65">
        <f t="shared" si="0"/>
        <v>0</v>
      </c>
      <c r="G6" s="65">
        <f t="shared" si="0"/>
        <v>0</v>
      </c>
      <c r="H6" s="66">
        <f t="shared" si="0"/>
        <v>585000</v>
      </c>
    </row>
    <row r="7" spans="1:9" s="1" customFormat="1">
      <c r="A7" s="41" t="s">
        <v>103</v>
      </c>
      <c r="B7" s="42"/>
      <c r="C7" s="110"/>
      <c r="D7" s="44"/>
      <c r="E7" s="44"/>
      <c r="F7" s="44"/>
      <c r="G7" s="44"/>
      <c r="H7" s="45"/>
    </row>
    <row r="8" spans="1:9" s="1" customFormat="1" ht="15">
      <c r="A8" s="26" t="s">
        <v>101</v>
      </c>
      <c r="B8" s="27">
        <v>2</v>
      </c>
      <c r="C8" s="109">
        <v>35000</v>
      </c>
      <c r="D8" s="46">
        <v>7500</v>
      </c>
      <c r="E8" s="47">
        <v>0</v>
      </c>
      <c r="F8" s="47">
        <v>0</v>
      </c>
      <c r="G8" s="34">
        <v>0</v>
      </c>
      <c r="H8" s="36">
        <f>C8-(D8+F8+E8+G8)</f>
        <v>27500</v>
      </c>
    </row>
    <row r="9" spans="1:9" s="6" customFormat="1">
      <c r="A9" s="37" t="s">
        <v>146</v>
      </c>
      <c r="B9" s="38"/>
      <c r="C9" s="100">
        <f t="shared" ref="C9:H9" si="1">C8</f>
        <v>35000</v>
      </c>
      <c r="D9" s="39">
        <f t="shared" si="1"/>
        <v>7500</v>
      </c>
      <c r="E9" s="39">
        <f>E8</f>
        <v>0</v>
      </c>
      <c r="F9" s="39">
        <f t="shared" si="1"/>
        <v>0</v>
      </c>
      <c r="G9" s="39">
        <f t="shared" si="1"/>
        <v>0</v>
      </c>
      <c r="H9" s="40">
        <f t="shared" si="1"/>
        <v>27500</v>
      </c>
    </row>
    <row r="10" spans="1:9" s="1" customFormat="1">
      <c r="A10" s="41" t="s">
        <v>136</v>
      </c>
      <c r="B10" s="42"/>
      <c r="C10" s="101"/>
      <c r="D10" s="43"/>
      <c r="E10" s="48"/>
      <c r="F10" s="48"/>
      <c r="G10" s="48"/>
      <c r="H10" s="45"/>
    </row>
    <row r="11" spans="1:9" ht="15">
      <c r="A11" s="26" t="s">
        <v>175</v>
      </c>
      <c r="B11" s="27">
        <v>2</v>
      </c>
      <c r="C11" s="112">
        <v>17000</v>
      </c>
      <c r="D11" s="35">
        <v>0</v>
      </c>
      <c r="E11" s="35">
        <v>0</v>
      </c>
      <c r="F11" s="35">
        <v>17000</v>
      </c>
      <c r="G11" s="35">
        <v>0</v>
      </c>
      <c r="H11" s="54">
        <f>C11-(D11+F11+E11+G11)</f>
        <v>0</v>
      </c>
      <c r="I11" s="4"/>
    </row>
    <row r="12" spans="1:9" s="5" customFormat="1">
      <c r="A12" s="37" t="s">
        <v>146</v>
      </c>
      <c r="B12" s="38"/>
      <c r="C12" s="113">
        <f t="shared" ref="C12:H12" si="2">SUM(C11:C11)</f>
        <v>17000</v>
      </c>
      <c r="D12" s="55">
        <f t="shared" si="2"/>
        <v>0</v>
      </c>
      <c r="E12" s="55">
        <f t="shared" si="2"/>
        <v>0</v>
      </c>
      <c r="F12" s="55">
        <f t="shared" si="2"/>
        <v>17000</v>
      </c>
      <c r="G12" s="55">
        <f t="shared" si="2"/>
        <v>0</v>
      </c>
      <c r="H12" s="56">
        <f t="shared" si="2"/>
        <v>0</v>
      </c>
    </row>
    <row r="13" spans="1:9" s="8" customFormat="1">
      <c r="A13" s="41" t="s">
        <v>89</v>
      </c>
      <c r="B13" s="18"/>
      <c r="C13" s="114"/>
      <c r="D13" s="58"/>
      <c r="E13" s="57"/>
      <c r="F13" s="57"/>
      <c r="G13" s="57"/>
      <c r="H13" s="59"/>
    </row>
    <row r="14" spans="1:9" s="1" customFormat="1" ht="15">
      <c r="A14" s="30" t="s">
        <v>129</v>
      </c>
      <c r="B14" s="31">
        <v>2</v>
      </c>
      <c r="C14" s="102">
        <v>20000</v>
      </c>
      <c r="D14" s="62">
        <v>0</v>
      </c>
      <c r="E14" s="62">
        <v>0</v>
      </c>
      <c r="F14" s="62">
        <v>0</v>
      </c>
      <c r="G14" s="62">
        <v>0</v>
      </c>
      <c r="H14" s="63">
        <f>C14-(D14+F14+E14+G14)</f>
        <v>20000</v>
      </c>
    </row>
    <row r="15" spans="1:9" s="6" customFormat="1">
      <c r="A15" s="64" t="s">
        <v>146</v>
      </c>
      <c r="B15" s="9"/>
      <c r="C15" s="115">
        <f t="shared" ref="C15:H15" si="3">SUM(C14:C14)</f>
        <v>20000</v>
      </c>
      <c r="D15" s="65">
        <f t="shared" si="3"/>
        <v>0</v>
      </c>
      <c r="E15" s="65">
        <f t="shared" si="3"/>
        <v>0</v>
      </c>
      <c r="F15" s="65">
        <f t="shared" si="3"/>
        <v>0</v>
      </c>
      <c r="G15" s="65">
        <f t="shared" si="3"/>
        <v>0</v>
      </c>
      <c r="H15" s="66">
        <f t="shared" si="3"/>
        <v>20000</v>
      </c>
    </row>
    <row r="16" spans="1:9" ht="13.5" customHeight="1">
      <c r="A16" s="41" t="s">
        <v>53</v>
      </c>
      <c r="B16" s="18"/>
      <c r="C16" s="95"/>
      <c r="D16" s="24"/>
      <c r="E16" s="23"/>
      <c r="F16" s="23"/>
      <c r="G16" s="23"/>
      <c r="H16" s="25"/>
    </row>
    <row r="17" spans="1:8">
      <c r="A17" s="30" t="s">
        <v>210</v>
      </c>
      <c r="B17" s="165" t="s">
        <v>207</v>
      </c>
      <c r="C17" s="97">
        <v>35000</v>
      </c>
      <c r="D17" s="32">
        <v>0</v>
      </c>
      <c r="E17" s="32">
        <v>0</v>
      </c>
      <c r="F17" s="32">
        <v>0</v>
      </c>
      <c r="G17" s="32">
        <v>35000</v>
      </c>
      <c r="H17" s="33">
        <f>C17-(D17+F17+E17+G17)</f>
        <v>0</v>
      </c>
    </row>
    <row r="18" spans="1:8" s="1" customFormat="1">
      <c r="A18" s="26" t="s">
        <v>215</v>
      </c>
      <c r="B18" s="27">
        <v>2</v>
      </c>
      <c r="C18" s="96">
        <v>8500</v>
      </c>
      <c r="D18" s="28">
        <v>0</v>
      </c>
      <c r="E18" s="52">
        <v>0</v>
      </c>
      <c r="F18" s="52">
        <v>0</v>
      </c>
      <c r="G18" s="52">
        <v>0</v>
      </c>
      <c r="H18" s="77">
        <f>C18-(D18+F18+E18+G18)</f>
        <v>8500</v>
      </c>
    </row>
    <row r="19" spans="1:8">
      <c r="A19" s="30" t="s">
        <v>211</v>
      </c>
      <c r="B19" s="31">
        <v>2</v>
      </c>
      <c r="C19" s="97">
        <v>30000</v>
      </c>
      <c r="D19" s="32">
        <v>0</v>
      </c>
      <c r="E19" s="32">
        <v>0</v>
      </c>
      <c r="F19" s="32">
        <v>0</v>
      </c>
      <c r="G19" s="32">
        <v>0</v>
      </c>
      <c r="H19" s="33">
        <f>C19-(D19+F19+E19+G19)</f>
        <v>30000</v>
      </c>
    </row>
    <row r="20" spans="1:8">
      <c r="A20" s="26" t="s">
        <v>73</v>
      </c>
      <c r="B20" s="7">
        <v>2</v>
      </c>
      <c r="C20" s="96">
        <v>45000</v>
      </c>
      <c r="D20" s="28">
        <v>0</v>
      </c>
      <c r="E20" s="28">
        <v>0</v>
      </c>
      <c r="F20" s="28">
        <v>0</v>
      </c>
      <c r="G20" s="28">
        <v>0</v>
      </c>
      <c r="H20" s="77">
        <f>C20-(D20+F20+E20+G20)</f>
        <v>45000</v>
      </c>
    </row>
    <row r="21" spans="1:8" s="1" customFormat="1" ht="15">
      <c r="A21" s="30" t="s">
        <v>83</v>
      </c>
      <c r="B21" s="31">
        <v>2</v>
      </c>
      <c r="C21" s="102">
        <v>30000</v>
      </c>
      <c r="D21" s="62">
        <v>0</v>
      </c>
      <c r="E21" s="62">
        <v>0</v>
      </c>
      <c r="F21" s="62">
        <v>0</v>
      </c>
      <c r="G21" s="62">
        <v>0</v>
      </c>
      <c r="H21" s="79">
        <f>C21-(D21+F21+E21+G21)</f>
        <v>30000</v>
      </c>
    </row>
    <row r="22" spans="1:8" s="6" customFormat="1">
      <c r="A22" s="64" t="s">
        <v>146</v>
      </c>
      <c r="B22" s="9"/>
      <c r="C22" s="115">
        <f t="shared" ref="C22:H22" si="4">SUM(C17:C21)</f>
        <v>148500</v>
      </c>
      <c r="D22" s="65">
        <f t="shared" si="4"/>
        <v>0</v>
      </c>
      <c r="E22" s="65">
        <f t="shared" si="4"/>
        <v>0</v>
      </c>
      <c r="F22" s="65">
        <f t="shared" si="4"/>
        <v>0</v>
      </c>
      <c r="G22" s="65">
        <f t="shared" si="4"/>
        <v>35000</v>
      </c>
      <c r="H22" s="66">
        <f t="shared" si="4"/>
        <v>113500</v>
      </c>
    </row>
    <row r="23" spans="1:8">
      <c r="A23" s="41" t="s">
        <v>38</v>
      </c>
      <c r="B23" s="85"/>
      <c r="C23" s="101"/>
      <c r="D23" s="44"/>
      <c r="E23" s="44"/>
      <c r="F23" s="44"/>
      <c r="G23" s="44"/>
      <c r="H23" s="86"/>
    </row>
    <row r="24" spans="1:8" s="1" customFormat="1">
      <c r="A24" s="30" t="s">
        <v>44</v>
      </c>
      <c r="B24" s="31">
        <v>2</v>
      </c>
      <c r="C24" s="97">
        <v>275000</v>
      </c>
      <c r="D24" s="32">
        <v>0</v>
      </c>
      <c r="E24" s="32">
        <v>0</v>
      </c>
      <c r="F24" s="32">
        <v>0</v>
      </c>
      <c r="G24" s="32">
        <v>0</v>
      </c>
      <c r="H24" s="33">
        <f>C24-(D24+F24+E24+G24)</f>
        <v>275000</v>
      </c>
    </row>
    <row r="25" spans="1:8" s="1" customFormat="1">
      <c r="A25" s="26" t="s">
        <v>42</v>
      </c>
      <c r="B25" s="27">
        <v>2</v>
      </c>
      <c r="C25" s="98">
        <v>95000</v>
      </c>
      <c r="D25" s="69">
        <v>0</v>
      </c>
      <c r="E25" s="49">
        <v>0</v>
      </c>
      <c r="F25" s="49">
        <v>0</v>
      </c>
      <c r="G25" s="49">
        <v>0</v>
      </c>
      <c r="H25" s="29">
        <f>C25-(D25+F25+E25+G25)</f>
        <v>95000</v>
      </c>
    </row>
    <row r="26" spans="1:8" s="1" customFormat="1" ht="15">
      <c r="A26" s="30" t="s">
        <v>72</v>
      </c>
      <c r="B26" s="31">
        <v>2</v>
      </c>
      <c r="C26" s="102">
        <v>2010000</v>
      </c>
      <c r="D26" s="78">
        <v>0</v>
      </c>
      <c r="E26" s="62">
        <v>0</v>
      </c>
      <c r="F26" s="62">
        <v>1000000</v>
      </c>
      <c r="G26" s="62">
        <v>0</v>
      </c>
      <c r="H26" s="79">
        <f>C26-(D26+F26+E26+G26)</f>
        <v>1010000</v>
      </c>
    </row>
    <row r="27" spans="1:8" s="6" customFormat="1">
      <c r="A27" s="64" t="s">
        <v>146</v>
      </c>
      <c r="B27" s="9"/>
      <c r="C27" s="103">
        <f t="shared" ref="C27:H27" si="5">SUM(C24:C26)</f>
        <v>2380000</v>
      </c>
      <c r="D27" s="87">
        <f t="shared" si="5"/>
        <v>0</v>
      </c>
      <c r="E27" s="87">
        <f t="shared" si="5"/>
        <v>0</v>
      </c>
      <c r="F27" s="87">
        <f t="shared" si="5"/>
        <v>1000000</v>
      </c>
      <c r="G27" s="87">
        <f t="shared" si="5"/>
        <v>0</v>
      </c>
      <c r="H27" s="88">
        <f t="shared" si="5"/>
        <v>1380000</v>
      </c>
    </row>
    <row r="28" spans="1:8">
      <c r="A28" s="41" t="s">
        <v>109</v>
      </c>
      <c r="B28" s="42"/>
      <c r="C28" s="101"/>
      <c r="D28" s="44"/>
      <c r="E28" s="44"/>
      <c r="F28" s="44"/>
      <c r="G28" s="44"/>
      <c r="H28" s="86"/>
    </row>
    <row r="29" spans="1:8" s="1" customFormat="1" ht="15">
      <c r="A29" s="30" t="s">
        <v>111</v>
      </c>
      <c r="B29" s="31">
        <v>2</v>
      </c>
      <c r="C29" s="102">
        <v>50000</v>
      </c>
      <c r="D29" s="62">
        <v>0</v>
      </c>
      <c r="E29" s="62">
        <v>0</v>
      </c>
      <c r="F29" s="62">
        <v>0</v>
      </c>
      <c r="G29" s="62">
        <v>0</v>
      </c>
      <c r="H29" s="79">
        <f>C29-(D29+F29+E29+G29)</f>
        <v>50000</v>
      </c>
    </row>
    <row r="30" spans="1:8" s="6" customFormat="1">
      <c r="A30" s="64" t="s">
        <v>146</v>
      </c>
      <c r="B30" s="9"/>
      <c r="C30" s="103">
        <f t="shared" ref="C30:H30" si="6">SUM(C29:C29)</f>
        <v>50000</v>
      </c>
      <c r="D30" s="87">
        <f t="shared" si="6"/>
        <v>0</v>
      </c>
      <c r="E30" s="87">
        <f t="shared" si="6"/>
        <v>0</v>
      </c>
      <c r="F30" s="87">
        <f t="shared" si="6"/>
        <v>0</v>
      </c>
      <c r="G30" s="87">
        <f t="shared" si="6"/>
        <v>0</v>
      </c>
      <c r="H30" s="88">
        <f t="shared" si="6"/>
        <v>50000</v>
      </c>
    </row>
    <row r="31" spans="1:8" s="1" customFormat="1">
      <c r="A31" s="41" t="s">
        <v>49</v>
      </c>
      <c r="B31" s="42"/>
      <c r="C31" s="101"/>
      <c r="D31" s="43"/>
      <c r="E31" s="44"/>
      <c r="F31" s="44"/>
      <c r="G31" s="44"/>
      <c r="H31" s="45"/>
    </row>
    <row r="32" spans="1:8" s="1" customFormat="1">
      <c r="A32" s="26" t="s">
        <v>130</v>
      </c>
      <c r="B32" s="27">
        <v>2</v>
      </c>
      <c r="C32" s="98">
        <v>50000</v>
      </c>
      <c r="D32" s="49">
        <v>0</v>
      </c>
      <c r="E32" s="49">
        <v>0</v>
      </c>
      <c r="F32" s="49">
        <v>0</v>
      </c>
      <c r="G32" s="49">
        <v>0</v>
      </c>
      <c r="H32" s="29">
        <f>C32-(D32+F32+E32+G32)</f>
        <v>50000</v>
      </c>
    </row>
    <row r="33" spans="1:9" s="1" customFormat="1" ht="25.5">
      <c r="A33" s="70" t="s">
        <v>128</v>
      </c>
      <c r="B33" s="31">
        <v>2</v>
      </c>
      <c r="C33" s="97">
        <v>40000</v>
      </c>
      <c r="D33" s="32">
        <v>0</v>
      </c>
      <c r="E33" s="32">
        <v>0</v>
      </c>
      <c r="F33" s="32">
        <v>0</v>
      </c>
      <c r="G33" s="32">
        <v>0</v>
      </c>
      <c r="H33" s="33">
        <f>C33-(D33+F33+E33+G33)</f>
        <v>40000</v>
      </c>
    </row>
    <row r="34" spans="1:9" s="1" customFormat="1">
      <c r="A34" s="26" t="s">
        <v>62</v>
      </c>
      <c r="B34" s="27">
        <v>2</v>
      </c>
      <c r="C34" s="96">
        <v>70000</v>
      </c>
      <c r="D34" s="28">
        <v>0</v>
      </c>
      <c r="E34" s="28">
        <v>0</v>
      </c>
      <c r="F34" s="28">
        <v>0</v>
      </c>
      <c r="G34" s="28">
        <v>0</v>
      </c>
      <c r="H34" s="29">
        <f>C34-(D34+F34+E34+G34)</f>
        <v>70000</v>
      </c>
    </row>
    <row r="35" spans="1:9" s="1" customFormat="1">
      <c r="A35" s="30" t="s">
        <v>213</v>
      </c>
      <c r="B35" s="31">
        <v>2</v>
      </c>
      <c r="C35" s="97">
        <v>150000</v>
      </c>
      <c r="D35" s="32">
        <v>0</v>
      </c>
      <c r="E35" s="32">
        <v>0</v>
      </c>
      <c r="F35" s="32">
        <v>0</v>
      </c>
      <c r="G35" s="32">
        <v>0</v>
      </c>
      <c r="H35" s="33">
        <f>C35-(D35+F35+E35+G35)</f>
        <v>150000</v>
      </c>
    </row>
    <row r="36" spans="1:9" s="1" customFormat="1" ht="12.75" customHeight="1">
      <c r="A36" s="26" t="s">
        <v>176</v>
      </c>
      <c r="B36" s="60">
        <v>2</v>
      </c>
      <c r="C36" s="112">
        <v>265000</v>
      </c>
      <c r="D36" s="35">
        <v>0</v>
      </c>
      <c r="E36" s="35">
        <v>0</v>
      </c>
      <c r="F36" s="35">
        <v>229008</v>
      </c>
      <c r="G36" s="35">
        <v>0</v>
      </c>
      <c r="H36" s="166">
        <f>C36-(D36+F36+E36+G36)</f>
        <v>35992</v>
      </c>
    </row>
    <row r="37" spans="1:9" s="6" customFormat="1">
      <c r="A37" s="73" t="s">
        <v>146</v>
      </c>
      <c r="B37" s="38"/>
      <c r="C37" s="113">
        <f t="shared" ref="C37:H37" si="7">SUM(C32:C36)</f>
        <v>575000</v>
      </c>
      <c r="D37" s="55">
        <f t="shared" si="7"/>
        <v>0</v>
      </c>
      <c r="E37" s="55">
        <f t="shared" si="7"/>
        <v>0</v>
      </c>
      <c r="F37" s="55">
        <f t="shared" si="7"/>
        <v>229008</v>
      </c>
      <c r="G37" s="55">
        <f t="shared" si="7"/>
        <v>0</v>
      </c>
      <c r="H37" s="56">
        <f t="shared" si="7"/>
        <v>345992</v>
      </c>
    </row>
    <row r="38" spans="1:9" ht="13.5" thickBot="1">
      <c r="A38" s="90" t="s">
        <v>156</v>
      </c>
      <c r="B38" s="91"/>
      <c r="C38" s="108">
        <f t="shared" ref="C38:H38" si="8">C6+C9+C12+C15+C22+C27+C30+C37</f>
        <v>3810500</v>
      </c>
      <c r="D38" s="169">
        <f t="shared" si="8"/>
        <v>7500</v>
      </c>
      <c r="E38" s="167">
        <f t="shared" si="8"/>
        <v>0</v>
      </c>
      <c r="F38" s="167">
        <f t="shared" si="8"/>
        <v>1246008</v>
      </c>
      <c r="G38" s="167">
        <f t="shared" si="8"/>
        <v>35000</v>
      </c>
      <c r="H38" s="167">
        <f t="shared" si="8"/>
        <v>2521992</v>
      </c>
      <c r="I38" s="170"/>
    </row>
    <row r="39" spans="1:9" ht="13.5" thickTop="1">
      <c r="C39" s="13"/>
      <c r="D39" s="13"/>
      <c r="E39" s="13"/>
      <c r="F39" s="13"/>
      <c r="G39" s="13"/>
      <c r="H39" s="13"/>
    </row>
    <row r="40" spans="1:9">
      <c r="C40" s="13"/>
      <c r="D40" s="13"/>
      <c r="E40" s="13"/>
      <c r="F40" s="13"/>
      <c r="G40" s="13"/>
      <c r="H40" s="13"/>
    </row>
    <row r="41" spans="1:9">
      <c r="C41" s="13"/>
      <c r="D41" s="13"/>
      <c r="E41" s="13"/>
      <c r="F41" s="13"/>
      <c r="G41" s="13"/>
      <c r="H41" s="13"/>
    </row>
    <row r="42" spans="1:9">
      <c r="C42" s="13"/>
      <c r="D42" s="13"/>
      <c r="E42" s="13"/>
      <c r="F42" s="13"/>
      <c r="G42" s="13"/>
      <c r="H42" s="13"/>
    </row>
    <row r="43" spans="1:9">
      <c r="C43" s="13"/>
      <c r="D43" s="13"/>
      <c r="E43" s="13"/>
      <c r="F43" s="13"/>
      <c r="G43" s="13"/>
      <c r="H43" s="13"/>
    </row>
    <row r="44" spans="1:9">
      <c r="C44" s="13"/>
      <c r="D44" s="13"/>
      <c r="E44" s="13"/>
      <c r="F44" s="13"/>
      <c r="G44" s="13"/>
      <c r="H44" s="13"/>
    </row>
    <row r="45" spans="1:9">
      <c r="C45" s="13"/>
      <c r="D45" s="13"/>
      <c r="E45" s="13"/>
      <c r="F45" s="13"/>
      <c r="G45" s="13"/>
      <c r="H45" s="13"/>
    </row>
    <row r="46" spans="1:9">
      <c r="C46" s="13"/>
      <c r="D46" s="13"/>
      <c r="E46" s="13"/>
      <c r="F46" s="13"/>
      <c r="G46" s="13"/>
      <c r="H46" s="13"/>
    </row>
    <row r="47" spans="1:9">
      <c r="C47" s="13"/>
      <c r="D47" s="13"/>
      <c r="E47" s="13"/>
      <c r="F47" s="13"/>
      <c r="G47" s="13"/>
      <c r="H47" s="13"/>
    </row>
    <row r="48" spans="1:9">
      <c r="C48" s="13"/>
      <c r="D48" s="13"/>
      <c r="E48" s="13"/>
      <c r="F48" s="13"/>
      <c r="G48" s="13"/>
      <c r="H48" s="13"/>
    </row>
    <row r="49" spans="3:8">
      <c r="C49" s="13"/>
      <c r="D49" s="13"/>
      <c r="E49" s="13"/>
      <c r="F49" s="13"/>
      <c r="G49" s="13"/>
      <c r="H49" s="13"/>
    </row>
    <row r="50" spans="3:8">
      <c r="C50" s="13"/>
      <c r="D50" s="13"/>
      <c r="E50" s="13"/>
      <c r="F50" s="13"/>
      <c r="G50" s="13"/>
      <c r="H50" s="13"/>
    </row>
    <row r="51" spans="3:8">
      <c r="C51" s="13"/>
      <c r="D51" s="13"/>
      <c r="E51" s="13"/>
      <c r="F51" s="13"/>
      <c r="G51" s="13"/>
      <c r="H51" s="13"/>
    </row>
    <row r="52" spans="3:8">
      <c r="C52" s="13"/>
      <c r="D52" s="13"/>
      <c r="E52" s="13"/>
      <c r="F52" s="13"/>
      <c r="G52" s="13"/>
      <c r="H52" s="13"/>
    </row>
    <row r="53" spans="3:8">
      <c r="C53" s="13"/>
      <c r="D53" s="13"/>
      <c r="E53" s="13"/>
      <c r="F53" s="13"/>
      <c r="G53" s="13"/>
      <c r="H53" s="13"/>
    </row>
    <row r="54" spans="3:8">
      <c r="C54" s="13"/>
      <c r="D54" s="13"/>
      <c r="E54" s="13"/>
      <c r="F54" s="13"/>
      <c r="G54" s="13"/>
      <c r="H54" s="13"/>
    </row>
    <row r="55" spans="3:8">
      <c r="C55" s="13"/>
      <c r="D55" s="13"/>
      <c r="E55" s="13"/>
      <c r="F55" s="13"/>
      <c r="G55" s="13"/>
      <c r="H55" s="13"/>
    </row>
    <row r="56" spans="3:8">
      <c r="C56" s="13"/>
      <c r="D56" s="13"/>
      <c r="E56" s="13"/>
      <c r="F56" s="13"/>
      <c r="G56" s="13"/>
      <c r="H56" s="13"/>
    </row>
    <row r="57" spans="3:8">
      <c r="C57" s="13"/>
      <c r="D57" s="13"/>
      <c r="E57" s="13"/>
      <c r="F57" s="13"/>
      <c r="G57" s="13"/>
      <c r="H57" s="13"/>
    </row>
    <row r="58" spans="3:8">
      <c r="C58" s="13"/>
      <c r="D58" s="13"/>
      <c r="E58" s="13"/>
      <c r="F58" s="13"/>
      <c r="G58" s="13"/>
      <c r="H58" s="13"/>
    </row>
    <row r="59" spans="3:8">
      <c r="C59" s="13"/>
      <c r="D59" s="13"/>
      <c r="E59" s="13"/>
      <c r="F59" s="13"/>
      <c r="G59" s="13"/>
      <c r="H59" s="13"/>
    </row>
    <row r="60" spans="3:8">
      <c r="C60" s="13"/>
      <c r="D60" s="13"/>
      <c r="E60" s="13"/>
      <c r="F60" s="13"/>
      <c r="G60" s="13"/>
      <c r="H60" s="13"/>
    </row>
    <row r="61" spans="3:8">
      <c r="C61" s="13"/>
      <c r="D61" s="13"/>
      <c r="E61" s="13"/>
      <c r="F61" s="13"/>
      <c r="G61" s="13"/>
      <c r="H61" s="13"/>
    </row>
    <row r="62" spans="3:8">
      <c r="C62" s="13"/>
      <c r="D62" s="13"/>
      <c r="E62" s="13"/>
      <c r="F62" s="13"/>
      <c r="G62" s="13"/>
      <c r="H62" s="13"/>
    </row>
    <row r="63" spans="3:8">
      <c r="C63" s="13"/>
      <c r="D63" s="13"/>
      <c r="E63" s="13"/>
      <c r="F63" s="13"/>
      <c r="G63" s="13"/>
      <c r="H63" s="13"/>
    </row>
    <row r="64" spans="3:8">
      <c r="C64" s="13"/>
      <c r="D64" s="13"/>
      <c r="E64" s="13"/>
      <c r="F64" s="13"/>
      <c r="G64" s="13"/>
      <c r="H64" s="13"/>
    </row>
    <row r="65" spans="1:9">
      <c r="C65" s="13"/>
      <c r="D65" s="13"/>
      <c r="E65" s="13"/>
      <c r="F65" s="13"/>
      <c r="G65" s="13"/>
      <c r="H65" s="13"/>
    </row>
    <row r="66" spans="1:9">
      <c r="C66" s="13"/>
      <c r="D66" s="13"/>
      <c r="E66" s="13"/>
      <c r="F66" s="13"/>
      <c r="G66" s="13"/>
      <c r="H66" s="13"/>
    </row>
    <row r="67" spans="1:9">
      <c r="E67" s="14"/>
      <c r="F67" s="14"/>
      <c r="G67" s="14"/>
      <c r="H67" s="15"/>
    </row>
    <row r="68" spans="1:9">
      <c r="G68" s="2"/>
    </row>
    <row r="69" spans="1:9">
      <c r="C69" s="2" t="s">
        <v>204</v>
      </c>
      <c r="E69" s="2"/>
      <c r="G69" s="2"/>
      <c r="I69" s="2" t="s">
        <v>205</v>
      </c>
    </row>
    <row r="70" spans="1:9" ht="15">
      <c r="A70" s="153" t="s">
        <v>69</v>
      </c>
      <c r="C70" s="16">
        <v>40000</v>
      </c>
      <c r="G70" s="2"/>
      <c r="I70" s="16">
        <v>0</v>
      </c>
    </row>
    <row r="71" spans="1:9" ht="15">
      <c r="A71" s="153" t="s">
        <v>85</v>
      </c>
      <c r="C71" s="16">
        <f>SUMIF(B4:B5,1,C4:C5)</f>
        <v>0</v>
      </c>
      <c r="F71" s="2"/>
      <c r="G71" s="2"/>
      <c r="I71" s="16">
        <f>SUMIF(B4:B5,2,C4:C5)</f>
        <v>585000</v>
      </c>
    </row>
    <row r="72" spans="1:9" ht="15">
      <c r="A72" s="153" t="s">
        <v>104</v>
      </c>
      <c r="C72" s="16">
        <f>SUMIF(B8,1,C8)</f>
        <v>0</v>
      </c>
      <c r="F72" s="2"/>
      <c r="G72" s="2"/>
      <c r="I72" s="16">
        <f>SUMIF(B8,2,C8)</f>
        <v>35000</v>
      </c>
    </row>
    <row r="73" spans="1:9" ht="15">
      <c r="A73" s="153" t="s">
        <v>92</v>
      </c>
      <c r="C73" s="16">
        <f>SUMIF(B11:B11,1,C11:C11)</f>
        <v>0</v>
      </c>
      <c r="F73" s="2"/>
      <c r="G73" s="2"/>
      <c r="I73" s="16">
        <f>SUMIF(B11:B11,2,C11:C11)</f>
        <v>17000</v>
      </c>
    </row>
    <row r="74" spans="1:9" ht="15">
      <c r="A74" s="153" t="s">
        <v>89</v>
      </c>
      <c r="C74" s="16">
        <f>SUMIF(B14:B14,1,C14:C14)</f>
        <v>0</v>
      </c>
      <c r="F74" s="2"/>
      <c r="G74" s="2"/>
      <c r="I74" s="16">
        <f>SUMIF(B14:B14,2,C14:C14)</f>
        <v>20000</v>
      </c>
    </row>
    <row r="75" spans="1:9" ht="15">
      <c r="A75" s="153" t="s">
        <v>95</v>
      </c>
      <c r="C75" s="16" t="e">
        <f>SUMIF(#REF!,1,#REF!)</f>
        <v>#REF!</v>
      </c>
      <c r="F75" s="2"/>
      <c r="G75" s="2"/>
      <c r="I75" s="16"/>
    </row>
    <row r="76" spans="1:9" ht="15">
      <c r="A76" s="153" t="s">
        <v>19</v>
      </c>
      <c r="C76" s="16" t="e">
        <f>SUMIF(#REF!,1,#REF!)</f>
        <v>#REF!</v>
      </c>
      <c r="F76" s="2"/>
      <c r="G76" s="2"/>
      <c r="I76" s="16"/>
    </row>
    <row r="77" spans="1:9" ht="15">
      <c r="A77" s="153" t="s">
        <v>53</v>
      </c>
      <c r="C77" s="16">
        <f>SUMIF(B17:B21,1,C17:C21)</f>
        <v>0</v>
      </c>
      <c r="F77" s="2"/>
      <c r="G77" s="2"/>
      <c r="I77" s="16">
        <f>SUMIF(B17:B21,2,C17:C21)</f>
        <v>148500</v>
      </c>
    </row>
    <row r="78" spans="1:9" ht="15">
      <c r="A78" s="153" t="s">
        <v>196</v>
      </c>
      <c r="C78" s="16">
        <f>SUMIF(B24:B26,1,C24:C26)</f>
        <v>0</v>
      </c>
      <c r="I78" s="16">
        <f>SUMIF(B24:B26,2,C24:C26)</f>
        <v>2380000</v>
      </c>
    </row>
    <row r="79" spans="1:9" ht="15">
      <c r="A79" s="153" t="s">
        <v>109</v>
      </c>
      <c r="C79" s="16">
        <f>SUMIF(B29:B29,1,C29:C29)</f>
        <v>0</v>
      </c>
      <c r="I79" s="16">
        <f>SUMIF(B29:B29,2,C29:C29)</f>
        <v>50000</v>
      </c>
    </row>
    <row r="80" spans="1:9" ht="15">
      <c r="A80" s="153" t="s">
        <v>49</v>
      </c>
      <c r="C80" s="16">
        <f>SUMIF(B32:B36,1,C32:C36)</f>
        <v>0</v>
      </c>
      <c r="I80" s="16">
        <f>SUMIF(B32:B36,2,C32:C36)</f>
        <v>575000</v>
      </c>
    </row>
    <row r="83" spans="1:4" s="16" customFormat="1">
      <c r="A83" s="2"/>
      <c r="B83" s="7"/>
      <c r="C83" s="2"/>
      <c r="D83" s="2"/>
    </row>
    <row r="84" spans="1:4" s="16" customFormat="1">
      <c r="A84" s="2"/>
      <c r="B84" s="7"/>
      <c r="C84" s="2"/>
      <c r="D84" s="2"/>
    </row>
    <row r="85" spans="1:4" s="16" customFormat="1">
      <c r="A85" s="2"/>
      <c r="B85" s="7"/>
      <c r="C85" s="2"/>
      <c r="D85" s="2"/>
    </row>
    <row r="86" spans="1:4" s="16" customFormat="1">
      <c r="A86" s="2"/>
      <c r="B86" s="7"/>
      <c r="C86" s="2"/>
      <c r="D86" s="2"/>
    </row>
    <row r="88" spans="1:4" s="16" customFormat="1">
      <c r="A88" s="2"/>
      <c r="B88" s="7"/>
      <c r="C88" s="2"/>
      <c r="D88" s="2"/>
    </row>
  </sheetData>
  <autoFilter ref="A2:G38" xr:uid="{636B3E51-F8D7-4F9D-BABE-FBD8BBC8954E}"/>
  <mergeCells count="1">
    <mergeCell ref="A1:H1"/>
  </mergeCells>
  <pageMargins left="0.7" right="0.7" top="0.75" bottom="0.75" header="0.3" footer="0.3"/>
  <pageSetup scale="92" orientation="portrait" r:id="rId1"/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16A04-6CFD-4706-8C1A-C9F10F807923}">
  <sheetPr>
    <tabColor rgb="FFFF0000"/>
  </sheetPr>
  <dimension ref="A1:I104"/>
  <sheetViews>
    <sheetView workbookViewId="0">
      <selection sqref="A1:H1"/>
    </sheetView>
  </sheetViews>
  <sheetFormatPr defaultColWidth="9.140625" defaultRowHeight="12.75"/>
  <cols>
    <col min="1" max="1" width="34" style="2" bestFit="1" customWidth="1"/>
    <col min="2" max="2" width="6.85546875" style="7" bestFit="1" customWidth="1"/>
    <col min="3" max="3" width="13" style="2" customWidth="1"/>
    <col min="4" max="4" width="12.28515625" style="2" customWidth="1"/>
    <col min="5" max="5" width="11" style="16" customWidth="1"/>
    <col min="6" max="6" width="12.140625" style="16" customWidth="1"/>
    <col min="7" max="7" width="13.7109375" style="16" bestFit="1" customWidth="1"/>
    <col min="8" max="9" width="11.7109375" style="2" bestFit="1" customWidth="1"/>
    <col min="10" max="16384" width="9.140625" style="2"/>
  </cols>
  <sheetData>
    <row r="1" spans="1:9" ht="16.5" customHeight="1" thickTop="1" thickBot="1">
      <c r="A1" s="340" t="s">
        <v>202</v>
      </c>
      <c r="B1" s="341"/>
      <c r="C1" s="341"/>
      <c r="D1" s="341"/>
      <c r="E1" s="341"/>
      <c r="F1" s="341"/>
      <c r="G1" s="341"/>
      <c r="H1" s="345"/>
    </row>
    <row r="2" spans="1:9" s="3" customFormat="1" ht="13.5" thickTop="1">
      <c r="A2" s="17" t="s">
        <v>144</v>
      </c>
      <c r="B2" s="18"/>
      <c r="C2" s="94" t="s">
        <v>146</v>
      </c>
      <c r="D2" s="19" t="s">
        <v>126</v>
      </c>
      <c r="E2" s="20" t="s">
        <v>199</v>
      </c>
      <c r="F2" s="20" t="s">
        <v>149</v>
      </c>
      <c r="G2" s="20" t="s">
        <v>151</v>
      </c>
      <c r="H2" s="21" t="s">
        <v>27</v>
      </c>
    </row>
    <row r="3" spans="1:9" s="1" customFormat="1" ht="15" customHeight="1">
      <c r="A3" s="22" t="s">
        <v>87</v>
      </c>
      <c r="B3" s="18" t="s">
        <v>3</v>
      </c>
      <c r="C3" s="95" t="s">
        <v>145</v>
      </c>
      <c r="D3" s="24" t="s">
        <v>147</v>
      </c>
      <c r="E3" s="23" t="s">
        <v>200</v>
      </c>
      <c r="F3" s="23" t="s">
        <v>147</v>
      </c>
      <c r="G3" s="23" t="s">
        <v>150</v>
      </c>
      <c r="H3" s="25" t="s">
        <v>148</v>
      </c>
    </row>
    <row r="4" spans="1:9" s="1" customFormat="1">
      <c r="A4" s="26" t="s">
        <v>88</v>
      </c>
      <c r="B4" s="27">
        <v>2</v>
      </c>
      <c r="C4" s="96">
        <v>550000</v>
      </c>
      <c r="D4" s="28">
        <v>0</v>
      </c>
      <c r="E4" s="28">
        <v>0</v>
      </c>
      <c r="F4" s="28">
        <v>0</v>
      </c>
      <c r="G4" s="28">
        <v>0</v>
      </c>
      <c r="H4" s="29">
        <f>C4-(D4+F4+E4+G4)</f>
        <v>550000</v>
      </c>
    </row>
    <row r="5" spans="1:9" s="1" customFormat="1" ht="15">
      <c r="A5" s="30" t="s">
        <v>90</v>
      </c>
      <c r="B5" s="31">
        <v>2</v>
      </c>
      <c r="C5" s="102">
        <v>35000</v>
      </c>
      <c r="D5" s="62">
        <v>0</v>
      </c>
      <c r="E5" s="62">
        <v>0</v>
      </c>
      <c r="F5" s="62">
        <v>0</v>
      </c>
      <c r="G5" s="62">
        <v>0</v>
      </c>
      <c r="H5" s="79">
        <f>C5-(D5+F5+E5+G5)</f>
        <v>35000</v>
      </c>
    </row>
    <row r="6" spans="1:9" s="5" customFormat="1">
      <c r="A6" s="64" t="s">
        <v>146</v>
      </c>
      <c r="B6" s="9"/>
      <c r="C6" s="115">
        <f t="shared" ref="C6:H6" si="0">SUM(C4:C5)</f>
        <v>585000</v>
      </c>
      <c r="D6" s="65">
        <f t="shared" si="0"/>
        <v>0</v>
      </c>
      <c r="E6" s="65">
        <f t="shared" si="0"/>
        <v>0</v>
      </c>
      <c r="F6" s="65">
        <f t="shared" si="0"/>
        <v>0</v>
      </c>
      <c r="G6" s="65">
        <f t="shared" si="0"/>
        <v>0</v>
      </c>
      <c r="H6" s="66">
        <f t="shared" si="0"/>
        <v>585000</v>
      </c>
    </row>
    <row r="7" spans="1:9" s="1" customFormat="1">
      <c r="A7" s="41" t="s">
        <v>103</v>
      </c>
      <c r="B7" s="42"/>
      <c r="C7" s="110"/>
      <c r="D7" s="44"/>
      <c r="E7" s="44"/>
      <c r="F7" s="44"/>
      <c r="G7" s="44"/>
      <c r="H7" s="45"/>
    </row>
    <row r="8" spans="1:9" s="1" customFormat="1" ht="15">
      <c r="A8" s="26" t="s">
        <v>101</v>
      </c>
      <c r="B8" s="27">
        <v>2</v>
      </c>
      <c r="C8" s="109">
        <v>35000</v>
      </c>
      <c r="D8" s="46">
        <v>7500</v>
      </c>
      <c r="E8" s="47">
        <v>0</v>
      </c>
      <c r="F8" s="47">
        <v>0</v>
      </c>
      <c r="G8" s="34">
        <v>0</v>
      </c>
      <c r="H8" s="36">
        <f>C8-(D8+F8+E8+G8)</f>
        <v>27500</v>
      </c>
    </row>
    <row r="9" spans="1:9" s="6" customFormat="1">
      <c r="A9" s="37" t="s">
        <v>146</v>
      </c>
      <c r="B9" s="38"/>
      <c r="C9" s="100">
        <f t="shared" ref="C9:H9" si="1">C8</f>
        <v>35000</v>
      </c>
      <c r="D9" s="39">
        <f t="shared" si="1"/>
        <v>7500</v>
      </c>
      <c r="E9" s="39">
        <f>E8</f>
        <v>0</v>
      </c>
      <c r="F9" s="39">
        <f t="shared" si="1"/>
        <v>0</v>
      </c>
      <c r="G9" s="39">
        <f t="shared" si="1"/>
        <v>0</v>
      </c>
      <c r="H9" s="40">
        <f t="shared" si="1"/>
        <v>27500</v>
      </c>
    </row>
    <row r="10" spans="1:9" s="1" customFormat="1">
      <c r="A10" s="41" t="s">
        <v>136</v>
      </c>
      <c r="B10" s="42"/>
      <c r="C10" s="101"/>
      <c r="D10" s="43"/>
      <c r="E10" s="48"/>
      <c r="F10" s="48"/>
      <c r="G10" s="48"/>
      <c r="H10" s="45"/>
    </row>
    <row r="11" spans="1:9">
      <c r="A11" s="26" t="s">
        <v>198</v>
      </c>
      <c r="B11" s="7">
        <v>1</v>
      </c>
      <c r="C11" s="96">
        <v>75000</v>
      </c>
      <c r="D11" s="49">
        <v>0</v>
      </c>
      <c r="E11" s="49">
        <v>75000</v>
      </c>
      <c r="F11" s="49">
        <v>0</v>
      </c>
      <c r="G11" s="49">
        <v>0</v>
      </c>
      <c r="H11" s="50">
        <f>C11-(D11+F11+E11+G11)</f>
        <v>0</v>
      </c>
    </row>
    <row r="12" spans="1:9">
      <c r="A12" s="30" t="s">
        <v>201</v>
      </c>
      <c r="B12" s="31">
        <v>1</v>
      </c>
      <c r="C12" s="97">
        <v>20000</v>
      </c>
      <c r="D12" s="32">
        <v>0</v>
      </c>
      <c r="E12" s="32">
        <v>0</v>
      </c>
      <c r="F12" s="32">
        <v>0</v>
      </c>
      <c r="G12" s="32">
        <v>0</v>
      </c>
      <c r="H12" s="51">
        <f>C12-(D12+F12+E12+G12)</f>
        <v>20000</v>
      </c>
    </row>
    <row r="13" spans="1:9" ht="15">
      <c r="A13" s="26" t="s">
        <v>175</v>
      </c>
      <c r="B13" s="27">
        <v>2</v>
      </c>
      <c r="C13" s="112">
        <v>17000</v>
      </c>
      <c r="D13" s="35">
        <v>0</v>
      </c>
      <c r="E13" s="35">
        <v>0</v>
      </c>
      <c r="F13" s="35">
        <v>17000</v>
      </c>
      <c r="G13" s="35">
        <v>0</v>
      </c>
      <c r="H13" s="54">
        <f>C13-(D13+F13+E13+G13)</f>
        <v>0</v>
      </c>
      <c r="I13" s="4"/>
    </row>
    <row r="14" spans="1:9" s="5" customFormat="1">
      <c r="A14" s="37" t="s">
        <v>146</v>
      </c>
      <c r="B14" s="38"/>
      <c r="C14" s="113">
        <f t="shared" ref="C14:H14" si="2">SUM(C11:C13)</f>
        <v>112000</v>
      </c>
      <c r="D14" s="55">
        <f t="shared" si="2"/>
        <v>0</v>
      </c>
      <c r="E14" s="55">
        <f t="shared" si="2"/>
        <v>75000</v>
      </c>
      <c r="F14" s="55">
        <f t="shared" si="2"/>
        <v>17000</v>
      </c>
      <c r="G14" s="55">
        <f t="shared" si="2"/>
        <v>0</v>
      </c>
      <c r="H14" s="56">
        <f t="shared" si="2"/>
        <v>20000</v>
      </c>
    </row>
    <row r="15" spans="1:9" s="8" customFormat="1">
      <c r="A15" s="41" t="s">
        <v>89</v>
      </c>
      <c r="B15" s="18"/>
      <c r="C15" s="114"/>
      <c r="D15" s="58"/>
      <c r="E15" s="57"/>
      <c r="F15" s="57"/>
      <c r="G15" s="57"/>
      <c r="H15" s="59"/>
    </row>
    <row r="16" spans="1:9">
      <c r="A16" s="26" t="s">
        <v>105</v>
      </c>
      <c r="B16" s="60">
        <v>1</v>
      </c>
      <c r="C16" s="111">
        <v>28000</v>
      </c>
      <c r="D16" s="49">
        <v>0</v>
      </c>
      <c r="E16" s="49">
        <v>0</v>
      </c>
      <c r="F16" s="49">
        <v>0</v>
      </c>
      <c r="G16" s="49">
        <v>0</v>
      </c>
      <c r="H16" s="50">
        <f>C16-(D16+F16+E16+G16)</f>
        <v>28000</v>
      </c>
    </row>
    <row r="17" spans="1:8">
      <c r="A17" s="30" t="s">
        <v>107</v>
      </c>
      <c r="B17" s="61">
        <v>1</v>
      </c>
      <c r="C17" s="104">
        <v>5000</v>
      </c>
      <c r="D17" s="32">
        <v>0</v>
      </c>
      <c r="E17" s="32">
        <v>0</v>
      </c>
      <c r="F17" s="32">
        <v>0</v>
      </c>
      <c r="G17" s="32">
        <v>0</v>
      </c>
      <c r="H17" s="51">
        <f>C17-(D17+F17+E17+G17)</f>
        <v>5000</v>
      </c>
    </row>
    <row r="18" spans="1:8">
      <c r="A18" s="26" t="s">
        <v>187</v>
      </c>
      <c r="B18" s="60">
        <v>1</v>
      </c>
      <c r="C18" s="111">
        <v>20000</v>
      </c>
      <c r="D18" s="49">
        <v>0</v>
      </c>
      <c r="E18" s="49">
        <v>0</v>
      </c>
      <c r="F18" s="49">
        <v>0</v>
      </c>
      <c r="G18" s="49">
        <v>0</v>
      </c>
      <c r="H18" s="50">
        <f>C18-(D18+F18+E18+G18)</f>
        <v>20000</v>
      </c>
    </row>
    <row r="19" spans="1:8" s="1" customFormat="1" ht="15">
      <c r="A19" s="30" t="s">
        <v>129</v>
      </c>
      <c r="B19" s="31">
        <v>2</v>
      </c>
      <c r="C19" s="102">
        <v>20000</v>
      </c>
      <c r="D19" s="62">
        <v>0</v>
      </c>
      <c r="E19" s="62">
        <v>0</v>
      </c>
      <c r="F19" s="62">
        <v>0</v>
      </c>
      <c r="G19" s="62">
        <v>0</v>
      </c>
      <c r="H19" s="63">
        <f>C19-(D19+F19+E19+G19)</f>
        <v>20000</v>
      </c>
    </row>
    <row r="20" spans="1:8" s="6" customFormat="1">
      <c r="A20" s="64" t="s">
        <v>146</v>
      </c>
      <c r="B20" s="9"/>
      <c r="C20" s="115">
        <f t="shared" ref="C20:H20" si="3">SUM(C16:C19)</f>
        <v>73000</v>
      </c>
      <c r="D20" s="65">
        <f t="shared" si="3"/>
        <v>0</v>
      </c>
      <c r="E20" s="65">
        <f>SUM(E16:E19)</f>
        <v>0</v>
      </c>
      <c r="F20" s="65">
        <f t="shared" si="3"/>
        <v>0</v>
      </c>
      <c r="G20" s="65">
        <f t="shared" si="3"/>
        <v>0</v>
      </c>
      <c r="H20" s="66">
        <f t="shared" si="3"/>
        <v>73000</v>
      </c>
    </row>
    <row r="21" spans="1:8" s="1" customFormat="1">
      <c r="A21" s="41" t="s">
        <v>95</v>
      </c>
      <c r="B21" s="42"/>
      <c r="C21" s="101"/>
      <c r="D21" s="44"/>
      <c r="E21" s="44"/>
      <c r="F21" s="44"/>
      <c r="G21" s="44"/>
      <c r="H21" s="45"/>
    </row>
    <row r="22" spans="1:8" s="1" customFormat="1">
      <c r="A22" s="67" t="s">
        <v>102</v>
      </c>
      <c r="B22" s="27">
        <v>1</v>
      </c>
      <c r="C22" s="116">
        <v>110000</v>
      </c>
      <c r="D22" s="68">
        <v>55000</v>
      </c>
      <c r="E22" s="69">
        <v>0</v>
      </c>
      <c r="F22" s="69">
        <v>0</v>
      </c>
      <c r="G22" s="68">
        <v>0</v>
      </c>
      <c r="H22" s="29">
        <f t="shared" ref="H22:H27" si="4">C22-(D22+F22+E22+G22)</f>
        <v>55000</v>
      </c>
    </row>
    <row r="23" spans="1:8" s="1" customFormat="1">
      <c r="A23" s="70" t="s">
        <v>188</v>
      </c>
      <c r="B23" s="31">
        <v>1</v>
      </c>
      <c r="C23" s="117">
        <v>45000</v>
      </c>
      <c r="D23" s="53">
        <v>0</v>
      </c>
      <c r="E23" s="53">
        <v>0</v>
      </c>
      <c r="F23" s="71">
        <v>0</v>
      </c>
      <c r="G23" s="71">
        <v>0</v>
      </c>
      <c r="H23" s="33">
        <f t="shared" si="4"/>
        <v>45000</v>
      </c>
    </row>
    <row r="24" spans="1:8" s="1" customFormat="1">
      <c r="A24" s="67" t="s">
        <v>100</v>
      </c>
      <c r="B24" s="27">
        <v>1</v>
      </c>
      <c r="C24" s="116">
        <v>30000</v>
      </c>
      <c r="D24" s="49">
        <v>0</v>
      </c>
      <c r="E24" s="69">
        <v>0</v>
      </c>
      <c r="F24" s="69">
        <v>0</v>
      </c>
      <c r="G24" s="68">
        <v>0</v>
      </c>
      <c r="H24" s="29">
        <f t="shared" si="4"/>
        <v>30000</v>
      </c>
    </row>
    <row r="25" spans="1:8" s="1" customFormat="1">
      <c r="A25" s="70" t="s">
        <v>98</v>
      </c>
      <c r="B25" s="31">
        <v>1</v>
      </c>
      <c r="C25" s="117">
        <v>245000</v>
      </c>
      <c r="D25" s="53">
        <v>0</v>
      </c>
      <c r="E25" s="32">
        <v>0</v>
      </c>
      <c r="F25" s="53">
        <v>0</v>
      </c>
      <c r="G25" s="71">
        <v>0</v>
      </c>
      <c r="H25" s="33">
        <f t="shared" si="4"/>
        <v>245000</v>
      </c>
    </row>
    <row r="26" spans="1:8" s="1" customFormat="1">
      <c r="A26" s="67" t="s">
        <v>189</v>
      </c>
      <c r="B26" s="27">
        <v>1</v>
      </c>
      <c r="C26" s="118">
        <v>15000</v>
      </c>
      <c r="D26" s="52">
        <v>0</v>
      </c>
      <c r="E26" s="72">
        <v>0</v>
      </c>
      <c r="F26" s="52">
        <v>0</v>
      </c>
      <c r="G26" s="72">
        <v>0</v>
      </c>
      <c r="H26" s="77">
        <f t="shared" si="4"/>
        <v>15000</v>
      </c>
    </row>
    <row r="27" spans="1:8" s="1" customFormat="1" ht="15">
      <c r="A27" s="70" t="s">
        <v>97</v>
      </c>
      <c r="B27" s="31">
        <v>1</v>
      </c>
      <c r="C27" s="160">
        <v>500000</v>
      </c>
      <c r="D27" s="78">
        <v>0</v>
      </c>
      <c r="E27" s="78">
        <v>0</v>
      </c>
      <c r="F27" s="124">
        <f>C27</f>
        <v>500000</v>
      </c>
      <c r="G27" s="78">
        <v>0</v>
      </c>
      <c r="H27" s="79">
        <f t="shared" si="4"/>
        <v>0</v>
      </c>
    </row>
    <row r="28" spans="1:8" s="6" customFormat="1">
      <c r="A28" s="89" t="s">
        <v>146</v>
      </c>
      <c r="B28" s="9"/>
      <c r="C28" s="161">
        <f t="shared" ref="C28:H28" si="5">SUM(C22:C27)</f>
        <v>945000</v>
      </c>
      <c r="D28" s="162">
        <f t="shared" si="5"/>
        <v>55000</v>
      </c>
      <c r="E28" s="162">
        <f t="shared" si="5"/>
        <v>0</v>
      </c>
      <c r="F28" s="162">
        <f t="shared" si="5"/>
        <v>500000</v>
      </c>
      <c r="G28" s="162">
        <f t="shared" si="5"/>
        <v>0</v>
      </c>
      <c r="H28" s="163">
        <f t="shared" si="5"/>
        <v>390000</v>
      </c>
    </row>
    <row r="29" spans="1:8" s="10" customFormat="1">
      <c r="A29" s="74" t="s">
        <v>19</v>
      </c>
      <c r="B29" s="18"/>
      <c r="C29" s="121"/>
      <c r="D29" s="75"/>
      <c r="E29" s="75"/>
      <c r="F29" s="75"/>
      <c r="G29" s="75"/>
      <c r="H29" s="76"/>
    </row>
    <row r="30" spans="1:8" s="1" customFormat="1">
      <c r="A30" s="26" t="s">
        <v>134</v>
      </c>
      <c r="B30" s="27">
        <v>1</v>
      </c>
      <c r="C30" s="96">
        <v>325000</v>
      </c>
      <c r="D30" s="52">
        <v>0</v>
      </c>
      <c r="E30" s="28">
        <v>325000</v>
      </c>
      <c r="F30" s="28">
        <v>0</v>
      </c>
      <c r="G30" s="28">
        <v>0</v>
      </c>
      <c r="H30" s="77">
        <f>C30-(D30+F30+E30+G30)</f>
        <v>0</v>
      </c>
    </row>
    <row r="31" spans="1:8" s="1" customFormat="1">
      <c r="A31" s="30" t="s">
        <v>186</v>
      </c>
      <c r="B31" s="61">
        <v>1</v>
      </c>
      <c r="C31" s="97">
        <v>16000</v>
      </c>
      <c r="D31" s="53">
        <v>0</v>
      </c>
      <c r="E31" s="32">
        <v>16000</v>
      </c>
      <c r="F31" s="32">
        <v>0</v>
      </c>
      <c r="G31" s="32">
        <v>0</v>
      </c>
      <c r="H31" s="33">
        <f>C31-(D31+F31+E31+G31)</f>
        <v>0</v>
      </c>
    </row>
    <row r="32" spans="1:8">
      <c r="A32" s="26" t="s">
        <v>206</v>
      </c>
      <c r="B32" s="27">
        <v>1</v>
      </c>
      <c r="C32" s="98">
        <v>105000</v>
      </c>
      <c r="D32" s="52">
        <v>52500</v>
      </c>
      <c r="E32" s="49">
        <v>0</v>
      </c>
      <c r="F32" s="49">
        <v>0</v>
      </c>
      <c r="G32" s="49">
        <v>0</v>
      </c>
      <c r="H32" s="77">
        <f>C32-(D32+F32+E32+G32)</f>
        <v>52500</v>
      </c>
    </row>
    <row r="33" spans="1:8" ht="15">
      <c r="A33" s="30" t="s">
        <v>185</v>
      </c>
      <c r="B33" s="31">
        <v>1</v>
      </c>
      <c r="C33" s="102">
        <v>62000</v>
      </c>
      <c r="D33" s="78">
        <v>0</v>
      </c>
      <c r="E33" s="62">
        <v>0</v>
      </c>
      <c r="F33" s="62">
        <v>0</v>
      </c>
      <c r="G33" s="62">
        <v>0</v>
      </c>
      <c r="H33" s="79">
        <f>C33-(D33+F33+E33+G33)</f>
        <v>62000</v>
      </c>
    </row>
    <row r="34" spans="1:8" ht="13.5" thickBot="1">
      <c r="A34" s="80" t="s">
        <v>146</v>
      </c>
      <c r="B34" s="81"/>
      <c r="C34" s="122">
        <f t="shared" ref="C34:H34" si="6">SUM(C30:C33)</f>
        <v>508000</v>
      </c>
      <c r="D34" s="82">
        <f t="shared" si="6"/>
        <v>52500</v>
      </c>
      <c r="E34" s="82">
        <f>SUM(E30:E33)</f>
        <v>341000</v>
      </c>
      <c r="F34" s="82">
        <f t="shared" si="6"/>
        <v>0</v>
      </c>
      <c r="G34" s="82">
        <f t="shared" si="6"/>
        <v>0</v>
      </c>
      <c r="H34" s="83">
        <f t="shared" si="6"/>
        <v>114500</v>
      </c>
    </row>
    <row r="35" spans="1:8" ht="14.25" thickTop="1" thickBot="1">
      <c r="A35" s="6"/>
      <c r="B35" s="9"/>
      <c r="C35" s="11"/>
      <c r="D35" s="11"/>
      <c r="E35" s="11"/>
      <c r="F35" s="11"/>
      <c r="G35" s="11"/>
      <c r="H35" s="11"/>
    </row>
    <row r="36" spans="1:8" ht="16.5" customHeight="1" thickTop="1" thickBot="1">
      <c r="A36" s="340" t="s">
        <v>203</v>
      </c>
      <c r="B36" s="341"/>
      <c r="C36" s="341"/>
      <c r="D36" s="341"/>
      <c r="E36" s="341"/>
      <c r="F36" s="341"/>
      <c r="G36" s="341"/>
      <c r="H36" s="345"/>
    </row>
    <row r="37" spans="1:8" s="3" customFormat="1" ht="13.5" thickTop="1">
      <c r="A37" s="17" t="s">
        <v>144</v>
      </c>
      <c r="B37" s="18"/>
      <c r="C37" s="94" t="s">
        <v>146</v>
      </c>
      <c r="D37" s="19" t="s">
        <v>126</v>
      </c>
      <c r="E37" s="20" t="s">
        <v>199</v>
      </c>
      <c r="F37" s="20" t="s">
        <v>149</v>
      </c>
      <c r="G37" s="20" t="s">
        <v>151</v>
      </c>
      <c r="H37" s="21" t="s">
        <v>27</v>
      </c>
    </row>
    <row r="38" spans="1:8" ht="13.5" customHeight="1">
      <c r="A38" s="41" t="s">
        <v>53</v>
      </c>
      <c r="B38" s="18" t="s">
        <v>3</v>
      </c>
      <c r="C38" s="95" t="s">
        <v>145</v>
      </c>
      <c r="D38" s="24" t="s">
        <v>147</v>
      </c>
      <c r="E38" s="23" t="s">
        <v>200</v>
      </c>
      <c r="F38" s="23" t="s">
        <v>147</v>
      </c>
      <c r="G38" s="23" t="s">
        <v>150</v>
      </c>
      <c r="H38" s="25" t="s">
        <v>148</v>
      </c>
    </row>
    <row r="39" spans="1:8" s="1" customFormat="1">
      <c r="A39" s="26" t="s">
        <v>239</v>
      </c>
      <c r="B39" s="27">
        <v>1</v>
      </c>
      <c r="C39" s="96">
        <v>900000</v>
      </c>
      <c r="D39" s="28">
        <v>0</v>
      </c>
      <c r="E39" s="28">
        <v>0</v>
      </c>
      <c r="F39" s="28">
        <v>0</v>
      </c>
      <c r="G39" s="28">
        <v>900000</v>
      </c>
      <c r="H39" s="29">
        <f t="shared" ref="H39:H52" si="7">C39-(D39+F39+E39+G39)</f>
        <v>0</v>
      </c>
    </row>
    <row r="40" spans="1:8" s="1" customFormat="1">
      <c r="A40" s="30" t="s">
        <v>77</v>
      </c>
      <c r="B40" s="31">
        <v>1</v>
      </c>
      <c r="C40" s="97">
        <v>2680000</v>
      </c>
      <c r="D40" s="32">
        <v>0</v>
      </c>
      <c r="E40" s="53">
        <v>0</v>
      </c>
      <c r="F40" s="53">
        <v>0</v>
      </c>
      <c r="G40" s="53">
        <v>0</v>
      </c>
      <c r="H40" s="33">
        <f t="shared" si="7"/>
        <v>2680000</v>
      </c>
    </row>
    <row r="41" spans="1:8" s="1" customFormat="1">
      <c r="A41" s="26" t="s">
        <v>22</v>
      </c>
      <c r="B41" s="27">
        <v>1</v>
      </c>
      <c r="C41" s="96">
        <v>515000</v>
      </c>
      <c r="D41" s="28">
        <v>0</v>
      </c>
      <c r="E41" s="28">
        <v>495000</v>
      </c>
      <c r="F41" s="28">
        <v>0</v>
      </c>
      <c r="G41" s="28">
        <v>20000</v>
      </c>
      <c r="H41" s="29">
        <f t="shared" si="7"/>
        <v>0</v>
      </c>
    </row>
    <row r="42" spans="1:8">
      <c r="A42" s="30" t="s">
        <v>209</v>
      </c>
      <c r="B42" s="165" t="s">
        <v>208</v>
      </c>
      <c r="C42" s="97">
        <v>143000</v>
      </c>
      <c r="D42" s="32">
        <v>0</v>
      </c>
      <c r="E42" s="32">
        <v>0</v>
      </c>
      <c r="F42" s="32">
        <v>0</v>
      </c>
      <c r="G42" s="32">
        <v>143000</v>
      </c>
      <c r="H42" s="33">
        <f t="shared" si="7"/>
        <v>0</v>
      </c>
    </row>
    <row r="43" spans="1:8">
      <c r="A43" s="26" t="s">
        <v>214</v>
      </c>
      <c r="B43" s="164" t="s">
        <v>208</v>
      </c>
      <c r="C43" s="98">
        <v>17500</v>
      </c>
      <c r="D43" s="28">
        <v>0</v>
      </c>
      <c r="E43" s="49">
        <v>0</v>
      </c>
      <c r="F43" s="49">
        <v>0</v>
      </c>
      <c r="G43" s="49">
        <v>17500</v>
      </c>
      <c r="H43" s="29">
        <f t="shared" si="7"/>
        <v>0</v>
      </c>
    </row>
    <row r="44" spans="1:8">
      <c r="A44" s="30" t="s">
        <v>127</v>
      </c>
      <c r="B44" s="84">
        <v>1</v>
      </c>
      <c r="C44" s="97">
        <v>7500</v>
      </c>
      <c r="D44" s="32">
        <v>0</v>
      </c>
      <c r="E44" s="32">
        <v>0</v>
      </c>
      <c r="F44" s="32">
        <v>0</v>
      </c>
      <c r="G44" s="32">
        <v>0</v>
      </c>
      <c r="H44" s="33">
        <f t="shared" si="7"/>
        <v>7500</v>
      </c>
    </row>
    <row r="45" spans="1:8">
      <c r="A45" s="26" t="s">
        <v>194</v>
      </c>
      <c r="B45" s="7">
        <v>1</v>
      </c>
      <c r="C45" s="96">
        <v>30000</v>
      </c>
      <c r="D45" s="28">
        <v>0</v>
      </c>
      <c r="E45" s="28">
        <v>0</v>
      </c>
      <c r="F45" s="28">
        <v>0</v>
      </c>
      <c r="G45" s="28">
        <v>30000</v>
      </c>
      <c r="H45" s="77">
        <f t="shared" si="7"/>
        <v>0</v>
      </c>
    </row>
    <row r="46" spans="1:8" s="1" customFormat="1" ht="15" customHeight="1">
      <c r="A46" s="30" t="s">
        <v>80</v>
      </c>
      <c r="B46" s="31">
        <v>1</v>
      </c>
      <c r="C46" s="97">
        <v>35000</v>
      </c>
      <c r="D46" s="32">
        <v>0</v>
      </c>
      <c r="E46" s="32">
        <v>0</v>
      </c>
      <c r="F46" s="32">
        <v>0</v>
      </c>
      <c r="G46" s="32">
        <v>35000</v>
      </c>
      <c r="H46" s="33">
        <f t="shared" si="7"/>
        <v>0</v>
      </c>
    </row>
    <row r="47" spans="1:8" s="1" customFormat="1">
      <c r="A47" s="26" t="s">
        <v>81</v>
      </c>
      <c r="B47" s="27">
        <v>1</v>
      </c>
      <c r="C47" s="96">
        <v>20000</v>
      </c>
      <c r="D47" s="28">
        <v>0</v>
      </c>
      <c r="E47" s="28">
        <v>0</v>
      </c>
      <c r="F47" s="28">
        <v>0</v>
      </c>
      <c r="G47" s="28">
        <v>0</v>
      </c>
      <c r="H47" s="77">
        <f t="shared" si="7"/>
        <v>20000</v>
      </c>
    </row>
    <row r="48" spans="1:8">
      <c r="A48" s="30" t="s">
        <v>210</v>
      </c>
      <c r="B48" s="165" t="s">
        <v>207</v>
      </c>
      <c r="C48" s="97">
        <v>35000</v>
      </c>
      <c r="D48" s="32">
        <v>0</v>
      </c>
      <c r="E48" s="32">
        <v>0</v>
      </c>
      <c r="F48" s="32">
        <v>0</v>
      </c>
      <c r="G48" s="32">
        <v>35000</v>
      </c>
      <c r="H48" s="33">
        <f t="shared" si="7"/>
        <v>0</v>
      </c>
    </row>
    <row r="49" spans="1:8" s="1" customFormat="1">
      <c r="A49" s="26" t="s">
        <v>215</v>
      </c>
      <c r="B49" s="27">
        <v>2</v>
      </c>
      <c r="C49" s="96">
        <v>8500</v>
      </c>
      <c r="D49" s="28">
        <v>0</v>
      </c>
      <c r="E49" s="52">
        <v>0</v>
      </c>
      <c r="F49" s="52">
        <v>0</v>
      </c>
      <c r="G49" s="52">
        <v>0</v>
      </c>
      <c r="H49" s="77">
        <f t="shared" si="7"/>
        <v>8500</v>
      </c>
    </row>
    <row r="50" spans="1:8">
      <c r="A50" s="30" t="s">
        <v>211</v>
      </c>
      <c r="B50" s="31">
        <v>2</v>
      </c>
      <c r="C50" s="97">
        <v>30000</v>
      </c>
      <c r="D50" s="32">
        <v>0</v>
      </c>
      <c r="E50" s="32">
        <v>0</v>
      </c>
      <c r="F50" s="32">
        <v>0</v>
      </c>
      <c r="G50" s="32">
        <v>0</v>
      </c>
      <c r="H50" s="33">
        <f t="shared" si="7"/>
        <v>30000</v>
      </c>
    </row>
    <row r="51" spans="1:8">
      <c r="A51" s="26" t="s">
        <v>73</v>
      </c>
      <c r="B51" s="7">
        <v>2</v>
      </c>
      <c r="C51" s="96">
        <v>45000</v>
      </c>
      <c r="D51" s="28">
        <v>0</v>
      </c>
      <c r="E51" s="28">
        <v>0</v>
      </c>
      <c r="F51" s="28">
        <v>0</v>
      </c>
      <c r="G51" s="28">
        <v>0</v>
      </c>
      <c r="H51" s="77">
        <f t="shared" si="7"/>
        <v>45000</v>
      </c>
    </row>
    <row r="52" spans="1:8" s="1" customFormat="1" ht="15">
      <c r="A52" s="30" t="s">
        <v>83</v>
      </c>
      <c r="B52" s="31">
        <v>2</v>
      </c>
      <c r="C52" s="102">
        <v>30000</v>
      </c>
      <c r="D52" s="62">
        <v>0</v>
      </c>
      <c r="E52" s="62">
        <v>0</v>
      </c>
      <c r="F52" s="62">
        <v>0</v>
      </c>
      <c r="G52" s="62">
        <v>0</v>
      </c>
      <c r="H52" s="79">
        <f t="shared" si="7"/>
        <v>30000</v>
      </c>
    </row>
    <row r="53" spans="1:8" s="6" customFormat="1">
      <c r="A53" s="64" t="s">
        <v>146</v>
      </c>
      <c r="B53" s="9"/>
      <c r="C53" s="115">
        <f t="shared" ref="C53:H53" si="8">SUM(C39:C52)</f>
        <v>4496500</v>
      </c>
      <c r="D53" s="65">
        <f t="shared" si="8"/>
        <v>0</v>
      </c>
      <c r="E53" s="65">
        <f t="shared" si="8"/>
        <v>495000</v>
      </c>
      <c r="F53" s="65">
        <f t="shared" si="8"/>
        <v>0</v>
      </c>
      <c r="G53" s="65">
        <f t="shared" si="8"/>
        <v>1180500</v>
      </c>
      <c r="H53" s="66">
        <f t="shared" si="8"/>
        <v>2821000</v>
      </c>
    </row>
    <row r="54" spans="1:8">
      <c r="A54" s="41" t="s">
        <v>38</v>
      </c>
      <c r="B54" s="85"/>
      <c r="C54" s="101"/>
      <c r="D54" s="44"/>
      <c r="E54" s="44"/>
      <c r="F54" s="44"/>
      <c r="G54" s="44"/>
      <c r="H54" s="86"/>
    </row>
    <row r="55" spans="1:8" s="1" customFormat="1">
      <c r="A55" s="26" t="s">
        <v>47</v>
      </c>
      <c r="B55" s="27">
        <v>1</v>
      </c>
      <c r="C55" s="96">
        <v>250000</v>
      </c>
      <c r="D55" s="52">
        <v>0</v>
      </c>
      <c r="E55" s="28">
        <v>0</v>
      </c>
      <c r="F55" s="28">
        <v>0</v>
      </c>
      <c r="G55" s="28">
        <v>0</v>
      </c>
      <c r="H55" s="77">
        <f t="shared" ref="H55:H62" si="9">C55-(D55+F55+E55+G55)</f>
        <v>250000</v>
      </c>
    </row>
    <row r="56" spans="1:8" s="1" customFormat="1">
      <c r="A56" s="30" t="s">
        <v>143</v>
      </c>
      <c r="B56" s="31">
        <v>1</v>
      </c>
      <c r="C56" s="97">
        <v>30000</v>
      </c>
      <c r="D56" s="53">
        <v>0</v>
      </c>
      <c r="E56" s="32">
        <v>0</v>
      </c>
      <c r="F56" s="32">
        <v>0</v>
      </c>
      <c r="G56" s="32">
        <v>0</v>
      </c>
      <c r="H56" s="33">
        <f t="shared" si="9"/>
        <v>30000</v>
      </c>
    </row>
    <row r="57" spans="1:8" s="1" customFormat="1">
      <c r="A57" s="26" t="s">
        <v>43</v>
      </c>
      <c r="B57" s="27">
        <v>1</v>
      </c>
      <c r="C57" s="96">
        <v>420000</v>
      </c>
      <c r="D57" s="52">
        <v>0</v>
      </c>
      <c r="E57" s="28">
        <v>0</v>
      </c>
      <c r="F57" s="28">
        <v>0</v>
      </c>
      <c r="G57" s="28">
        <v>0</v>
      </c>
      <c r="H57" s="77">
        <f t="shared" si="9"/>
        <v>420000</v>
      </c>
    </row>
    <row r="58" spans="1:8" s="1" customFormat="1">
      <c r="A58" s="30" t="s">
        <v>45</v>
      </c>
      <c r="B58" s="31">
        <v>1</v>
      </c>
      <c r="C58" s="97">
        <v>310000</v>
      </c>
      <c r="D58" s="53">
        <v>0</v>
      </c>
      <c r="E58" s="32">
        <v>0</v>
      </c>
      <c r="F58" s="32">
        <v>233091</v>
      </c>
      <c r="G58" s="32">
        <v>0</v>
      </c>
      <c r="H58" s="33">
        <f t="shared" si="9"/>
        <v>76909</v>
      </c>
    </row>
    <row r="59" spans="1:8">
      <c r="A59" s="26" t="s">
        <v>41</v>
      </c>
      <c r="B59" s="7">
        <v>1</v>
      </c>
      <c r="C59" s="98">
        <v>30000</v>
      </c>
      <c r="D59" s="28">
        <v>0</v>
      </c>
      <c r="E59" s="49">
        <v>0</v>
      </c>
      <c r="F59" s="49">
        <v>0</v>
      </c>
      <c r="G59" s="49">
        <v>0</v>
      </c>
      <c r="H59" s="29">
        <f t="shared" si="9"/>
        <v>30000</v>
      </c>
    </row>
    <row r="60" spans="1:8" s="1" customFormat="1">
      <c r="A60" s="30" t="s">
        <v>44</v>
      </c>
      <c r="B60" s="31">
        <v>2</v>
      </c>
      <c r="C60" s="97">
        <v>275000</v>
      </c>
      <c r="D60" s="32">
        <v>0</v>
      </c>
      <c r="E60" s="32">
        <v>0</v>
      </c>
      <c r="F60" s="32">
        <v>0</v>
      </c>
      <c r="G60" s="32">
        <v>0</v>
      </c>
      <c r="H60" s="33">
        <f t="shared" si="9"/>
        <v>275000</v>
      </c>
    </row>
    <row r="61" spans="1:8" s="1" customFormat="1">
      <c r="A61" s="26" t="s">
        <v>42</v>
      </c>
      <c r="B61" s="27">
        <v>2</v>
      </c>
      <c r="C61" s="98">
        <v>95000</v>
      </c>
      <c r="D61" s="69">
        <v>0</v>
      </c>
      <c r="E61" s="49">
        <v>0</v>
      </c>
      <c r="F61" s="49">
        <v>0</v>
      </c>
      <c r="G61" s="49">
        <v>0</v>
      </c>
      <c r="H61" s="29">
        <f t="shared" si="9"/>
        <v>95000</v>
      </c>
    </row>
    <row r="62" spans="1:8" s="1" customFormat="1" ht="15">
      <c r="A62" s="30" t="s">
        <v>72</v>
      </c>
      <c r="B62" s="31">
        <v>2</v>
      </c>
      <c r="C62" s="102">
        <v>1200000</v>
      </c>
      <c r="D62" s="78">
        <v>0</v>
      </c>
      <c r="E62" s="62">
        <v>0</v>
      </c>
      <c r="F62" s="62">
        <v>600000</v>
      </c>
      <c r="G62" s="62">
        <v>0</v>
      </c>
      <c r="H62" s="79">
        <f t="shared" si="9"/>
        <v>600000</v>
      </c>
    </row>
    <row r="63" spans="1:8" s="6" customFormat="1">
      <c r="A63" s="64" t="s">
        <v>146</v>
      </c>
      <c r="B63" s="9"/>
      <c r="C63" s="103">
        <f t="shared" ref="C63:H63" si="10">SUM(C55:C62)</f>
        <v>2610000</v>
      </c>
      <c r="D63" s="87">
        <f t="shared" si="10"/>
        <v>0</v>
      </c>
      <c r="E63" s="87">
        <f t="shared" si="10"/>
        <v>0</v>
      </c>
      <c r="F63" s="87">
        <f t="shared" si="10"/>
        <v>833091</v>
      </c>
      <c r="G63" s="87">
        <f t="shared" si="10"/>
        <v>0</v>
      </c>
      <c r="H63" s="88">
        <f t="shared" si="10"/>
        <v>1776909</v>
      </c>
    </row>
    <row r="64" spans="1:8">
      <c r="A64" s="41" t="s">
        <v>109</v>
      </c>
      <c r="B64" s="42"/>
      <c r="C64" s="101"/>
      <c r="D64" s="44"/>
      <c r="E64" s="44"/>
      <c r="F64" s="44"/>
      <c r="G64" s="44"/>
      <c r="H64" s="86"/>
    </row>
    <row r="65" spans="1:8" s="1" customFormat="1">
      <c r="A65" s="26" t="s">
        <v>108</v>
      </c>
      <c r="B65" s="27">
        <v>1</v>
      </c>
      <c r="C65" s="98">
        <v>120000</v>
      </c>
      <c r="D65" s="49">
        <v>76530</v>
      </c>
      <c r="E65" s="49">
        <v>0</v>
      </c>
      <c r="F65" s="49">
        <v>10000</v>
      </c>
      <c r="G65" s="49">
        <v>0</v>
      </c>
      <c r="H65" s="29">
        <f>C65-(D65+F65+E65+G65)</f>
        <v>33470</v>
      </c>
    </row>
    <row r="66" spans="1:8" s="1" customFormat="1" ht="15">
      <c r="A66" s="30" t="s">
        <v>111</v>
      </c>
      <c r="B66" s="31">
        <v>2</v>
      </c>
      <c r="C66" s="102">
        <v>50000</v>
      </c>
      <c r="D66" s="62">
        <v>0</v>
      </c>
      <c r="E66" s="62">
        <v>0</v>
      </c>
      <c r="F66" s="62">
        <v>0</v>
      </c>
      <c r="G66" s="62">
        <v>0</v>
      </c>
      <c r="H66" s="79">
        <f>C66-(D66+F66+E66+G66)</f>
        <v>50000</v>
      </c>
    </row>
    <row r="67" spans="1:8" s="6" customFormat="1">
      <c r="A67" s="64" t="s">
        <v>146</v>
      </c>
      <c r="B67" s="9"/>
      <c r="C67" s="103">
        <f t="shared" ref="C67:H67" si="11">SUM(C65:C66)</f>
        <v>170000</v>
      </c>
      <c r="D67" s="87">
        <f t="shared" si="11"/>
        <v>76530</v>
      </c>
      <c r="E67" s="87">
        <f t="shared" si="11"/>
        <v>0</v>
      </c>
      <c r="F67" s="87">
        <f t="shared" si="11"/>
        <v>10000</v>
      </c>
      <c r="G67" s="87">
        <f t="shared" si="11"/>
        <v>0</v>
      </c>
      <c r="H67" s="88">
        <f t="shared" si="11"/>
        <v>83470</v>
      </c>
    </row>
    <row r="68" spans="1:8" s="1" customFormat="1">
      <c r="A68" s="41" t="s">
        <v>49</v>
      </c>
      <c r="B68" s="42"/>
      <c r="C68" s="101"/>
      <c r="D68" s="43"/>
      <c r="E68" s="44"/>
      <c r="F68" s="44"/>
      <c r="G68" s="44"/>
      <c r="H68" s="45"/>
    </row>
    <row r="69" spans="1:8" s="1" customFormat="1">
      <c r="A69" s="67" t="s">
        <v>132</v>
      </c>
      <c r="B69" s="27">
        <v>1</v>
      </c>
      <c r="C69" s="96">
        <v>100000</v>
      </c>
      <c r="D69" s="28">
        <v>0</v>
      </c>
      <c r="E69" s="28">
        <v>0</v>
      </c>
      <c r="F69" s="28">
        <v>0</v>
      </c>
      <c r="G69" s="28">
        <v>0</v>
      </c>
      <c r="H69" s="29">
        <f t="shared" ref="H69:H77" si="12">C69-(D69+F69+E69+G69)</f>
        <v>100000</v>
      </c>
    </row>
    <row r="70" spans="1:8" s="1" customFormat="1">
      <c r="A70" s="70" t="s">
        <v>157</v>
      </c>
      <c r="B70" s="31">
        <v>1</v>
      </c>
      <c r="C70" s="97">
        <v>250000</v>
      </c>
      <c r="D70" s="32">
        <v>0</v>
      </c>
      <c r="E70" s="32">
        <v>0</v>
      </c>
      <c r="F70" s="32">
        <v>168644</v>
      </c>
      <c r="G70" s="32">
        <v>0</v>
      </c>
      <c r="H70" s="33">
        <f t="shared" si="12"/>
        <v>81356</v>
      </c>
    </row>
    <row r="71" spans="1:8" s="1" customFormat="1">
      <c r="A71" s="67" t="s">
        <v>58</v>
      </c>
      <c r="B71" s="27">
        <v>1</v>
      </c>
      <c r="C71" s="96">
        <v>450000</v>
      </c>
      <c r="D71" s="28">
        <v>300000</v>
      </c>
      <c r="E71" s="28">
        <v>0</v>
      </c>
      <c r="F71" s="28">
        <v>0</v>
      </c>
      <c r="G71" s="28">
        <v>0</v>
      </c>
      <c r="H71" s="29">
        <f t="shared" si="12"/>
        <v>150000</v>
      </c>
    </row>
    <row r="72" spans="1:8" s="1" customFormat="1" ht="12.75" customHeight="1">
      <c r="A72" s="70" t="s">
        <v>212</v>
      </c>
      <c r="B72" s="31">
        <v>1</v>
      </c>
      <c r="C72" s="97">
        <v>175000</v>
      </c>
      <c r="D72" s="32">
        <v>138888</v>
      </c>
      <c r="E72" s="32">
        <v>0</v>
      </c>
      <c r="F72" s="32">
        <v>0</v>
      </c>
      <c r="G72" s="32">
        <v>0</v>
      </c>
      <c r="H72" s="33">
        <f t="shared" si="12"/>
        <v>36112</v>
      </c>
    </row>
    <row r="73" spans="1:8" s="1" customFormat="1">
      <c r="A73" s="26" t="s">
        <v>130</v>
      </c>
      <c r="B73" s="27">
        <v>2</v>
      </c>
      <c r="C73" s="98">
        <v>50000</v>
      </c>
      <c r="D73" s="49">
        <v>0</v>
      </c>
      <c r="E73" s="49">
        <v>0</v>
      </c>
      <c r="F73" s="49">
        <v>0</v>
      </c>
      <c r="G73" s="49">
        <v>0</v>
      </c>
      <c r="H73" s="29">
        <f t="shared" si="12"/>
        <v>50000</v>
      </c>
    </row>
    <row r="74" spans="1:8" s="1" customFormat="1">
      <c r="A74" s="70" t="s">
        <v>128</v>
      </c>
      <c r="B74" s="31">
        <v>2</v>
      </c>
      <c r="C74" s="97">
        <v>40000</v>
      </c>
      <c r="D74" s="32">
        <v>0</v>
      </c>
      <c r="E74" s="32">
        <v>0</v>
      </c>
      <c r="F74" s="32">
        <v>0</v>
      </c>
      <c r="G74" s="32">
        <v>0</v>
      </c>
      <c r="H74" s="33">
        <f t="shared" si="12"/>
        <v>40000</v>
      </c>
    </row>
    <row r="75" spans="1:8" s="1" customFormat="1">
      <c r="A75" s="26" t="s">
        <v>62</v>
      </c>
      <c r="B75" s="27">
        <v>2</v>
      </c>
      <c r="C75" s="96">
        <v>70000</v>
      </c>
      <c r="D75" s="28">
        <v>0</v>
      </c>
      <c r="E75" s="28">
        <v>0</v>
      </c>
      <c r="F75" s="28">
        <v>0</v>
      </c>
      <c r="G75" s="28">
        <v>0</v>
      </c>
      <c r="H75" s="29">
        <f t="shared" si="12"/>
        <v>70000</v>
      </c>
    </row>
    <row r="76" spans="1:8" s="1" customFormat="1">
      <c r="A76" s="30" t="s">
        <v>213</v>
      </c>
      <c r="B76" s="31">
        <v>2</v>
      </c>
      <c r="C76" s="97">
        <v>150000</v>
      </c>
      <c r="D76" s="32">
        <v>0</v>
      </c>
      <c r="E76" s="32">
        <v>0</v>
      </c>
      <c r="F76" s="32">
        <v>0</v>
      </c>
      <c r="G76" s="32">
        <v>0</v>
      </c>
      <c r="H76" s="33">
        <f t="shared" si="12"/>
        <v>150000</v>
      </c>
    </row>
    <row r="77" spans="1:8" s="1" customFormat="1" ht="12.75" customHeight="1">
      <c r="A77" s="26" t="s">
        <v>176</v>
      </c>
      <c r="B77" s="60">
        <v>2</v>
      </c>
      <c r="C77" s="112">
        <v>265000</v>
      </c>
      <c r="D77" s="35">
        <v>0</v>
      </c>
      <c r="E77" s="35">
        <v>0</v>
      </c>
      <c r="F77" s="35">
        <v>229008</v>
      </c>
      <c r="G77" s="35">
        <v>0</v>
      </c>
      <c r="H77" s="166">
        <f t="shared" si="12"/>
        <v>35992</v>
      </c>
    </row>
    <row r="78" spans="1:8" s="6" customFormat="1">
      <c r="A78" s="73" t="s">
        <v>146</v>
      </c>
      <c r="B78" s="38"/>
      <c r="C78" s="113">
        <f t="shared" ref="C78:H78" si="13">SUM(C69:C77)</f>
        <v>1550000</v>
      </c>
      <c r="D78" s="55">
        <f t="shared" si="13"/>
        <v>438888</v>
      </c>
      <c r="E78" s="55">
        <f t="shared" si="13"/>
        <v>0</v>
      </c>
      <c r="F78" s="55">
        <f t="shared" si="13"/>
        <v>397652</v>
      </c>
      <c r="G78" s="55">
        <f t="shared" si="13"/>
        <v>0</v>
      </c>
      <c r="H78" s="56">
        <f t="shared" si="13"/>
        <v>713460</v>
      </c>
    </row>
    <row r="79" spans="1:8" s="3" customFormat="1">
      <c r="A79" s="17"/>
      <c r="B79" s="18"/>
      <c r="C79" s="107" t="s">
        <v>146</v>
      </c>
      <c r="D79" s="19" t="s">
        <v>126</v>
      </c>
      <c r="E79" s="20" t="s">
        <v>199</v>
      </c>
      <c r="F79" s="20" t="s">
        <v>149</v>
      </c>
      <c r="G79" s="20" t="s">
        <v>151</v>
      </c>
      <c r="H79" s="21" t="s">
        <v>27</v>
      </c>
    </row>
    <row r="80" spans="1:8" ht="25.5">
      <c r="A80" s="41"/>
      <c r="B80" s="18"/>
      <c r="C80" s="95" t="s">
        <v>145</v>
      </c>
      <c r="D80" s="24" t="s">
        <v>147</v>
      </c>
      <c r="E80" s="23" t="s">
        <v>152</v>
      </c>
      <c r="F80" s="23" t="s">
        <v>147</v>
      </c>
      <c r="G80" s="23" t="s">
        <v>150</v>
      </c>
      <c r="H80" s="25" t="s">
        <v>148</v>
      </c>
    </row>
    <row r="81" spans="1:9" ht="13.5" thickBot="1">
      <c r="A81" s="90" t="s">
        <v>156</v>
      </c>
      <c r="B81" s="91"/>
      <c r="C81" s="108">
        <f t="shared" ref="C81:H81" si="14">C6+C9+C14+C20+C28+C34+C53+C63+C67+C78</f>
        <v>11084500</v>
      </c>
      <c r="D81" s="92">
        <f t="shared" si="14"/>
        <v>630418</v>
      </c>
      <c r="E81" s="92">
        <f t="shared" si="14"/>
        <v>911000</v>
      </c>
      <c r="F81" s="92">
        <f t="shared" si="14"/>
        <v>1757743</v>
      </c>
      <c r="G81" s="92">
        <f t="shared" si="14"/>
        <v>1180500</v>
      </c>
      <c r="H81" s="93">
        <f t="shared" si="14"/>
        <v>6604839</v>
      </c>
      <c r="I81" s="12"/>
    </row>
    <row r="82" spans="1:9" ht="13.5" thickTop="1">
      <c r="C82" s="13"/>
      <c r="D82" s="13"/>
      <c r="E82" s="13"/>
      <c r="F82" s="13"/>
      <c r="G82" s="13"/>
      <c r="H82" s="13"/>
    </row>
    <row r="83" spans="1:9">
      <c r="E83" s="14"/>
      <c r="F83" s="14"/>
      <c r="G83" s="14"/>
      <c r="H83" s="15"/>
    </row>
    <row r="84" spans="1:9">
      <c r="G84" s="2"/>
    </row>
    <row r="85" spans="1:9">
      <c r="C85" s="2" t="s">
        <v>204</v>
      </c>
      <c r="E85" s="2"/>
      <c r="G85" s="2"/>
      <c r="I85" s="2" t="s">
        <v>205</v>
      </c>
    </row>
    <row r="86" spans="1:9" ht="15">
      <c r="A86" s="153" t="s">
        <v>69</v>
      </c>
      <c r="C86" s="16">
        <v>40000</v>
      </c>
      <c r="G86" s="2"/>
      <c r="I86" s="16">
        <v>0</v>
      </c>
    </row>
    <row r="87" spans="1:9" ht="15">
      <c r="A87" s="153" t="s">
        <v>85</v>
      </c>
      <c r="C87" s="16">
        <f>SUMIF(B4:B5,1,C4:C5)</f>
        <v>0</v>
      </c>
      <c r="F87" s="2"/>
      <c r="G87" s="2"/>
      <c r="I87" s="16">
        <f>SUMIF(B4:B5,2,C4:C5)</f>
        <v>585000</v>
      </c>
    </row>
    <row r="88" spans="1:9" ht="15">
      <c r="A88" s="153" t="s">
        <v>104</v>
      </c>
      <c r="C88" s="16">
        <f>SUMIF(B8,1,C8)</f>
        <v>0</v>
      </c>
      <c r="F88" s="2"/>
      <c r="G88" s="2"/>
      <c r="I88" s="16">
        <f>SUMIF(B8,2,C8)</f>
        <v>35000</v>
      </c>
    </row>
    <row r="89" spans="1:9" ht="15">
      <c r="A89" s="153" t="s">
        <v>92</v>
      </c>
      <c r="C89" s="16">
        <f>SUMIF(B11:B13,1,C11:C13)</f>
        <v>95000</v>
      </c>
      <c r="F89" s="2"/>
      <c r="G89" s="2"/>
      <c r="I89" s="16">
        <f>SUMIF(B11:B13,2,C11:C13)</f>
        <v>17000</v>
      </c>
    </row>
    <row r="90" spans="1:9" ht="15">
      <c r="A90" s="153" t="s">
        <v>89</v>
      </c>
      <c r="C90" s="16">
        <f>SUMIF(B16:B19,1,C16:C19)</f>
        <v>53000</v>
      </c>
      <c r="F90" s="2"/>
      <c r="G90" s="2"/>
      <c r="I90" s="16">
        <f>SUMIF(B16:B19,2,C16:C19)</f>
        <v>20000</v>
      </c>
    </row>
    <row r="91" spans="1:9" ht="15">
      <c r="A91" s="153" t="s">
        <v>95</v>
      </c>
      <c r="C91" s="16">
        <f>SUMIF(B22:B27,1,C22:C27)</f>
        <v>945000</v>
      </c>
      <c r="F91" s="2"/>
      <c r="G91" s="2"/>
      <c r="I91" s="16">
        <f>SUMIF(B22:B27,2,C22:C27)</f>
        <v>0</v>
      </c>
    </row>
    <row r="92" spans="1:9" ht="15">
      <c r="A92" s="153" t="s">
        <v>19</v>
      </c>
      <c r="C92" s="16">
        <f>SUMIF(B30:B33,1,C30:C33)</f>
        <v>508000</v>
      </c>
      <c r="F92" s="2"/>
      <c r="G92" s="2"/>
      <c r="I92" s="16">
        <f>SUMIF(B30:B33,2,C30:C33)</f>
        <v>0</v>
      </c>
    </row>
    <row r="93" spans="1:9" ht="15">
      <c r="A93" s="153" t="s">
        <v>53</v>
      </c>
      <c r="C93" s="16">
        <f>SUMIF(B39:B52,1,C39:C52)</f>
        <v>4348000</v>
      </c>
      <c r="F93" s="2"/>
      <c r="G93" s="2"/>
      <c r="I93" s="16">
        <f>SUMIF(B39:B52,2,C39:C52)</f>
        <v>148500</v>
      </c>
    </row>
    <row r="94" spans="1:9" ht="15">
      <c r="A94" s="153" t="s">
        <v>196</v>
      </c>
      <c r="C94" s="16">
        <f>SUMIF(B55:B62,1,C55:C62)</f>
        <v>1040000</v>
      </c>
      <c r="I94" s="16">
        <f>SUMIF(B55:B62,2,C55:C62)</f>
        <v>1570000</v>
      </c>
    </row>
    <row r="95" spans="1:9" ht="15">
      <c r="A95" s="153" t="s">
        <v>109</v>
      </c>
      <c r="C95" s="16">
        <f>SUMIF(B65:B66,1,C65:C66)</f>
        <v>120000</v>
      </c>
      <c r="I95" s="16">
        <f>SUMIF(B65:B66,2,C65:C66)</f>
        <v>50000</v>
      </c>
    </row>
    <row r="96" spans="1:9" ht="15">
      <c r="A96" s="153" t="s">
        <v>49</v>
      </c>
      <c r="C96" s="16">
        <f>SUMIF(B69:B77,1,C69:C77)</f>
        <v>975000</v>
      </c>
      <c r="I96" s="16">
        <f>SUMIF(B69:B77,2,C69:C77)</f>
        <v>575000</v>
      </c>
    </row>
    <row r="99" spans="1:4" s="16" customFormat="1">
      <c r="A99" s="2"/>
      <c r="B99" s="7"/>
      <c r="C99" s="2"/>
      <c r="D99" s="2"/>
    </row>
    <row r="100" spans="1:4" s="16" customFormat="1">
      <c r="A100" s="2"/>
      <c r="B100" s="7"/>
      <c r="C100" s="2"/>
      <c r="D100" s="2"/>
    </row>
    <row r="101" spans="1:4" s="16" customFormat="1">
      <c r="A101" s="2"/>
      <c r="B101" s="7"/>
      <c r="C101" s="2"/>
      <c r="D101" s="2"/>
    </row>
    <row r="102" spans="1:4" s="16" customFormat="1">
      <c r="A102" s="2"/>
      <c r="B102" s="7"/>
      <c r="C102" s="2"/>
      <c r="D102" s="2"/>
    </row>
    <row r="104" spans="1:4" s="16" customFormat="1">
      <c r="A104" s="2"/>
      <c r="B104" s="7"/>
      <c r="C104" s="2"/>
      <c r="D104" s="2"/>
    </row>
  </sheetData>
  <autoFilter ref="A2:G81" xr:uid="{636B3E51-F8D7-4F9D-BABE-FBD8BBC8954E}"/>
  <mergeCells count="2">
    <mergeCell ref="A1:H1"/>
    <mergeCell ref="A36:H36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E8056-B483-44B1-89B8-5621DBC0A690}">
  <sheetPr>
    <tabColor rgb="FF00B050"/>
    <pageSetUpPr fitToPage="1"/>
  </sheetPr>
  <dimension ref="A1:EP366"/>
  <sheetViews>
    <sheetView tabSelected="1" view="pageBreakPreview" zoomScale="60" zoomScaleNormal="100" workbookViewId="0">
      <selection activeCell="A81" sqref="A81:XFD81"/>
    </sheetView>
  </sheetViews>
  <sheetFormatPr defaultRowHeight="15"/>
  <cols>
    <col min="1" max="1" width="7.5703125" bestFit="1" customWidth="1"/>
    <col min="2" max="2" width="102.140625" style="218" customWidth="1"/>
    <col min="3" max="3" width="139.140625" hidden="1" customWidth="1"/>
    <col min="4" max="4" width="41.5703125" bestFit="1" customWidth="1"/>
    <col min="5" max="5" width="19.85546875" bestFit="1" customWidth="1"/>
    <col min="6" max="6" width="25" style="242" bestFit="1" customWidth="1"/>
    <col min="7" max="7" width="22.28515625" style="242" bestFit="1" customWidth="1"/>
    <col min="8" max="8" width="29.85546875" bestFit="1" customWidth="1"/>
    <col min="9" max="9" width="25.7109375" customWidth="1"/>
    <col min="10" max="10" width="24.85546875" customWidth="1"/>
    <col min="11" max="11" width="21.28515625" style="272" hidden="1" customWidth="1"/>
    <col min="12" max="14" width="24.28515625" bestFit="1" customWidth="1"/>
    <col min="15" max="15" width="22.28515625" bestFit="1" customWidth="1"/>
    <col min="16" max="16" width="54.5703125" style="218" customWidth="1"/>
    <col min="17" max="17" width="23.7109375" customWidth="1"/>
    <col min="18" max="18" width="57.7109375" bestFit="1" customWidth="1"/>
    <col min="19" max="21" width="22.28515625" style="242" bestFit="1" customWidth="1"/>
    <col min="22" max="22" width="18.85546875" bestFit="1" customWidth="1"/>
    <col min="23" max="23" width="38.5703125" bestFit="1" customWidth="1"/>
    <col min="24" max="24" width="22.5703125" customWidth="1"/>
    <col min="25" max="25" width="11.7109375" customWidth="1"/>
    <col min="26" max="26" width="48.140625" bestFit="1" customWidth="1"/>
    <col min="27" max="27" width="80.7109375" bestFit="1" customWidth="1"/>
    <col min="28" max="28" width="34.7109375" bestFit="1" customWidth="1"/>
    <col min="29" max="29" width="22.42578125" customWidth="1"/>
    <col min="30" max="30" width="89.28515625" bestFit="1" customWidth="1"/>
    <col min="31" max="31" width="129.5703125" bestFit="1" customWidth="1"/>
  </cols>
  <sheetData>
    <row r="1" spans="1:31" ht="99.75" customHeight="1" thickBot="1">
      <c r="A1" s="282" t="s">
        <v>0</v>
      </c>
      <c r="B1" s="283" t="s">
        <v>1</v>
      </c>
      <c r="C1" s="284" t="s">
        <v>2</v>
      </c>
      <c r="D1" s="283" t="s">
        <v>4</v>
      </c>
      <c r="E1" s="285" t="s">
        <v>336</v>
      </c>
      <c r="F1" s="286" t="s">
        <v>346</v>
      </c>
      <c r="G1" s="286" t="s">
        <v>347</v>
      </c>
      <c r="H1" s="287" t="s">
        <v>499</v>
      </c>
      <c r="I1" s="287" t="s">
        <v>494</v>
      </c>
      <c r="J1" s="286" t="s">
        <v>503</v>
      </c>
      <c r="K1" s="288" t="s">
        <v>496</v>
      </c>
      <c r="L1" s="286" t="s">
        <v>500</v>
      </c>
      <c r="M1" s="286" t="s">
        <v>501</v>
      </c>
      <c r="N1" s="286" t="s">
        <v>502</v>
      </c>
      <c r="O1" s="286" t="s">
        <v>504</v>
      </c>
      <c r="P1" s="287" t="s">
        <v>5</v>
      </c>
      <c r="Q1" s="285" t="s">
        <v>336</v>
      </c>
      <c r="R1" s="287" t="s">
        <v>6</v>
      </c>
      <c r="S1" s="286" t="s">
        <v>356</v>
      </c>
      <c r="T1" s="286" t="s">
        <v>357</v>
      </c>
      <c r="U1" s="289" t="s">
        <v>358</v>
      </c>
      <c r="V1" s="283" t="s">
        <v>8</v>
      </c>
      <c r="W1" s="283" t="s">
        <v>9</v>
      </c>
      <c r="X1" s="283" t="s">
        <v>10</v>
      </c>
      <c r="Y1" s="283" t="s">
        <v>11</v>
      </c>
      <c r="Z1" s="283" t="s">
        <v>12</v>
      </c>
      <c r="AA1" s="284" t="s">
        <v>13</v>
      </c>
      <c r="AB1" s="283" t="s">
        <v>14</v>
      </c>
      <c r="AC1" s="290" t="s">
        <v>15</v>
      </c>
      <c r="AD1" s="291" t="s">
        <v>16</v>
      </c>
      <c r="AE1" s="284" t="s">
        <v>17</v>
      </c>
    </row>
    <row r="2" spans="1:31" ht="52.5">
      <c r="A2" s="292">
        <v>1</v>
      </c>
      <c r="B2" s="293" t="s">
        <v>300</v>
      </c>
      <c r="C2" s="293" t="s">
        <v>300</v>
      </c>
      <c r="D2" s="293" t="s">
        <v>301</v>
      </c>
      <c r="E2" s="294" t="s">
        <v>337</v>
      </c>
      <c r="F2" s="295">
        <v>150000</v>
      </c>
      <c r="G2" s="295">
        <v>157959.64000000001</v>
      </c>
      <c r="H2" s="296">
        <v>0</v>
      </c>
      <c r="I2" s="296">
        <v>0</v>
      </c>
      <c r="J2" s="296">
        <v>0</v>
      </c>
      <c r="K2" s="297" t="s">
        <v>498</v>
      </c>
      <c r="L2" s="296">
        <v>0</v>
      </c>
      <c r="M2" s="296">
        <v>0</v>
      </c>
      <c r="N2" s="296">
        <v>0</v>
      </c>
      <c r="O2" s="298">
        <v>0</v>
      </c>
      <c r="P2" s="299"/>
      <c r="Q2" s="294"/>
      <c r="R2" s="300"/>
      <c r="S2" s="295"/>
      <c r="T2" s="295"/>
      <c r="U2" s="295"/>
      <c r="V2" s="293" t="s">
        <v>301</v>
      </c>
      <c r="W2" s="300" t="s">
        <v>309</v>
      </c>
      <c r="X2" s="300"/>
      <c r="Y2" s="300"/>
      <c r="Z2" s="300" t="s">
        <v>23</v>
      </c>
      <c r="AA2" s="300" t="s">
        <v>302</v>
      </c>
      <c r="AB2" s="300"/>
      <c r="AC2" s="300"/>
      <c r="AD2" s="300"/>
      <c r="AE2" s="300"/>
    </row>
    <row r="3" spans="1:31" ht="52.5">
      <c r="A3" s="301">
        <f>A2+1</f>
        <v>2</v>
      </c>
      <c r="B3" s="293" t="s">
        <v>487</v>
      </c>
      <c r="C3" s="293" t="s">
        <v>487</v>
      </c>
      <c r="D3" s="302" t="s">
        <v>301</v>
      </c>
      <c r="E3" s="294" t="s">
        <v>337</v>
      </c>
      <c r="F3" s="303">
        <v>0</v>
      </c>
      <c r="G3" s="303">
        <v>8700</v>
      </c>
      <c r="H3" s="296">
        <v>0</v>
      </c>
      <c r="I3" s="296">
        <v>0</v>
      </c>
      <c r="J3" s="296">
        <v>0</v>
      </c>
      <c r="K3" s="297" t="s">
        <v>498</v>
      </c>
      <c r="L3" s="296">
        <v>0</v>
      </c>
      <c r="M3" s="296">
        <v>0</v>
      </c>
      <c r="N3" s="296">
        <v>0</v>
      </c>
      <c r="O3" s="298">
        <v>0</v>
      </c>
      <c r="P3" s="299"/>
      <c r="Q3" s="304"/>
      <c r="R3" s="305"/>
      <c r="S3" s="303"/>
      <c r="T3" s="303"/>
      <c r="U3" s="303"/>
      <c r="V3" s="293" t="s">
        <v>301</v>
      </c>
      <c r="W3" s="300" t="s">
        <v>309</v>
      </c>
      <c r="X3" s="305"/>
      <c r="Y3" s="305"/>
      <c r="Z3" s="305" t="s">
        <v>23</v>
      </c>
      <c r="AA3" s="305" t="s">
        <v>302</v>
      </c>
      <c r="AB3" s="305"/>
      <c r="AC3" s="305"/>
      <c r="AD3" s="305"/>
      <c r="AE3" s="305"/>
    </row>
    <row r="4" spans="1:31" ht="52.5">
      <c r="A4" s="301">
        <f t="shared" ref="A4:A67" si="0">A3+1</f>
        <v>3</v>
      </c>
      <c r="B4" s="293" t="s">
        <v>371</v>
      </c>
      <c r="C4" s="293" t="s">
        <v>371</v>
      </c>
      <c r="D4" s="302" t="s">
        <v>301</v>
      </c>
      <c r="E4" s="294" t="s">
        <v>337</v>
      </c>
      <c r="F4" s="303">
        <v>25000</v>
      </c>
      <c r="G4" s="303">
        <v>16784.64</v>
      </c>
      <c r="H4" s="296">
        <v>0</v>
      </c>
      <c r="I4" s="296">
        <v>0</v>
      </c>
      <c r="J4" s="296">
        <v>0</v>
      </c>
      <c r="K4" s="297" t="s">
        <v>498</v>
      </c>
      <c r="L4" s="296">
        <v>0</v>
      </c>
      <c r="M4" s="296">
        <v>0</v>
      </c>
      <c r="N4" s="296">
        <v>0</v>
      </c>
      <c r="O4" s="298">
        <v>0</v>
      </c>
      <c r="P4" s="299"/>
      <c r="Q4" s="304"/>
      <c r="R4" s="305"/>
      <c r="S4" s="303"/>
      <c r="T4" s="303"/>
      <c r="U4" s="303"/>
      <c r="V4" s="293" t="s">
        <v>301</v>
      </c>
      <c r="W4" s="300" t="s">
        <v>309</v>
      </c>
      <c r="X4" s="305"/>
      <c r="Y4" s="305"/>
      <c r="Z4" s="305" t="s">
        <v>23</v>
      </c>
      <c r="AA4" s="305" t="s">
        <v>302</v>
      </c>
      <c r="AB4" s="305"/>
      <c r="AC4" s="305"/>
      <c r="AD4" s="305"/>
      <c r="AE4" s="305"/>
    </row>
    <row r="5" spans="1:31" ht="52.5">
      <c r="A5" s="301">
        <f t="shared" si="0"/>
        <v>4</v>
      </c>
      <c r="B5" s="293" t="s">
        <v>622</v>
      </c>
      <c r="C5" s="293" t="s">
        <v>622</v>
      </c>
      <c r="D5" s="302" t="s">
        <v>301</v>
      </c>
      <c r="E5" s="294" t="s">
        <v>337</v>
      </c>
      <c r="F5" s="303">
        <v>0</v>
      </c>
      <c r="G5" s="303">
        <v>10028.81</v>
      </c>
      <c r="H5" s="296">
        <v>0</v>
      </c>
      <c r="I5" s="296">
        <v>17218</v>
      </c>
      <c r="J5" s="296">
        <v>17218</v>
      </c>
      <c r="K5" s="306">
        <v>1</v>
      </c>
      <c r="L5" s="296">
        <v>0</v>
      </c>
      <c r="M5" s="296">
        <v>0</v>
      </c>
      <c r="N5" s="296">
        <v>0</v>
      </c>
      <c r="O5" s="298">
        <v>0</v>
      </c>
      <c r="P5" s="299"/>
      <c r="Q5" s="304"/>
      <c r="R5" s="305"/>
      <c r="S5" s="303"/>
      <c r="T5" s="303"/>
      <c r="U5" s="303"/>
      <c r="V5" s="293" t="s">
        <v>301</v>
      </c>
      <c r="W5" s="300" t="s">
        <v>309</v>
      </c>
      <c r="X5" s="305"/>
      <c r="Y5" s="305"/>
      <c r="Z5" s="305" t="s">
        <v>551</v>
      </c>
      <c r="AA5" s="305"/>
      <c r="AB5" s="305"/>
      <c r="AC5" s="305"/>
      <c r="AD5" s="305"/>
      <c r="AE5" s="305"/>
    </row>
    <row r="6" spans="1:31" ht="52.5">
      <c r="A6" s="301">
        <f t="shared" si="0"/>
        <v>5</v>
      </c>
      <c r="B6" s="293" t="s">
        <v>372</v>
      </c>
      <c r="C6" s="293" t="s">
        <v>374</v>
      </c>
      <c r="D6" s="302" t="s">
        <v>301</v>
      </c>
      <c r="E6" s="294" t="s">
        <v>337</v>
      </c>
      <c r="F6" s="303">
        <v>0</v>
      </c>
      <c r="G6" s="303">
        <v>0</v>
      </c>
      <c r="H6" s="296">
        <v>0</v>
      </c>
      <c r="I6" s="296">
        <v>0</v>
      </c>
      <c r="J6" s="296">
        <v>0</v>
      </c>
      <c r="K6" s="297" t="s">
        <v>498</v>
      </c>
      <c r="L6" s="307">
        <v>0</v>
      </c>
      <c r="M6" s="296"/>
      <c r="N6" s="296">
        <v>0</v>
      </c>
      <c r="O6" s="296">
        <v>1000000</v>
      </c>
      <c r="P6" s="299"/>
      <c r="Q6" s="304"/>
      <c r="R6" s="305"/>
      <c r="S6" s="303"/>
      <c r="T6" s="303"/>
      <c r="U6" s="303"/>
      <c r="V6" s="293" t="s">
        <v>301</v>
      </c>
      <c r="W6" s="300" t="s">
        <v>309</v>
      </c>
      <c r="X6" s="305"/>
      <c r="Y6" s="305"/>
      <c r="Z6" s="305" t="s">
        <v>23</v>
      </c>
      <c r="AA6" s="305" t="s">
        <v>471</v>
      </c>
      <c r="AB6" s="305"/>
      <c r="AC6" s="305"/>
      <c r="AD6" s="305"/>
      <c r="AE6" s="305"/>
    </row>
    <row r="7" spans="1:31" ht="52.5">
      <c r="A7" s="301">
        <f t="shared" si="0"/>
        <v>6</v>
      </c>
      <c r="B7" s="293" t="s">
        <v>373</v>
      </c>
      <c r="C7" s="293" t="s">
        <v>375</v>
      </c>
      <c r="D7" s="302" t="s">
        <v>301</v>
      </c>
      <c r="E7" s="294" t="s">
        <v>337</v>
      </c>
      <c r="F7" s="308">
        <v>0</v>
      </c>
      <c r="G7" s="303">
        <v>0</v>
      </c>
      <c r="H7" s="296">
        <v>100000</v>
      </c>
      <c r="I7" s="296">
        <v>0</v>
      </c>
      <c r="J7" s="296">
        <v>0</v>
      </c>
      <c r="K7" s="306">
        <v>0</v>
      </c>
      <c r="L7" s="296">
        <v>150000</v>
      </c>
      <c r="M7" s="296">
        <v>0</v>
      </c>
      <c r="N7" s="296">
        <v>0</v>
      </c>
      <c r="O7" s="298">
        <v>0</v>
      </c>
      <c r="P7" s="299"/>
      <c r="Q7" s="304"/>
      <c r="R7" s="305"/>
      <c r="S7" s="308"/>
      <c r="T7" s="308"/>
      <c r="U7" s="308"/>
      <c r="V7" s="293" t="s">
        <v>301</v>
      </c>
      <c r="W7" s="300" t="s">
        <v>309</v>
      </c>
      <c r="X7" s="305"/>
      <c r="Y7" s="305"/>
      <c r="Z7" s="305" t="s">
        <v>26</v>
      </c>
      <c r="AA7" s="305" t="s">
        <v>471</v>
      </c>
      <c r="AB7" s="305"/>
      <c r="AC7" s="305"/>
      <c r="AD7" s="305"/>
      <c r="AE7" s="305"/>
    </row>
    <row r="8" spans="1:31" ht="52.5">
      <c r="A8" s="301">
        <f t="shared" si="0"/>
        <v>7</v>
      </c>
      <c r="B8" s="293" t="s">
        <v>376</v>
      </c>
      <c r="C8" s="293" t="s">
        <v>377</v>
      </c>
      <c r="D8" s="302" t="s">
        <v>301</v>
      </c>
      <c r="E8" s="294" t="s">
        <v>337</v>
      </c>
      <c r="F8" s="308">
        <v>0</v>
      </c>
      <c r="G8" s="303">
        <v>0</v>
      </c>
      <c r="H8" s="296">
        <v>150000</v>
      </c>
      <c r="I8" s="296">
        <v>6407</v>
      </c>
      <c r="J8" s="296">
        <v>170334.62</v>
      </c>
      <c r="K8" s="306">
        <v>0</v>
      </c>
      <c r="L8" s="296">
        <v>0</v>
      </c>
      <c r="M8" s="296">
        <v>0</v>
      </c>
      <c r="N8" s="296">
        <v>0</v>
      </c>
      <c r="O8" s="298">
        <v>0</v>
      </c>
      <c r="P8" s="299"/>
      <c r="Q8" s="304"/>
      <c r="R8" s="305"/>
      <c r="S8" s="308"/>
      <c r="T8" s="308"/>
      <c r="U8" s="308"/>
      <c r="V8" s="293" t="s">
        <v>301</v>
      </c>
      <c r="W8" s="300" t="s">
        <v>309</v>
      </c>
      <c r="X8" s="305"/>
      <c r="Y8" s="305"/>
      <c r="Z8" s="305" t="s">
        <v>23</v>
      </c>
      <c r="AA8" s="305" t="s">
        <v>471</v>
      </c>
      <c r="AB8" s="305"/>
      <c r="AC8" s="305"/>
      <c r="AD8" s="305"/>
      <c r="AE8" s="305"/>
    </row>
    <row r="9" spans="1:31" ht="52.5">
      <c r="A9" s="301">
        <f t="shared" si="0"/>
        <v>8</v>
      </c>
      <c r="B9" s="293" t="s">
        <v>371</v>
      </c>
      <c r="C9" s="293" t="s">
        <v>378</v>
      </c>
      <c r="D9" s="302" t="s">
        <v>301</v>
      </c>
      <c r="E9" s="294" t="s">
        <v>337</v>
      </c>
      <c r="F9" s="308">
        <v>0</v>
      </c>
      <c r="G9" s="303">
        <v>0</v>
      </c>
      <c r="H9" s="296">
        <v>0</v>
      </c>
      <c r="I9" s="296">
        <v>0</v>
      </c>
      <c r="J9" s="296">
        <v>0</v>
      </c>
      <c r="K9" s="297" t="s">
        <v>498</v>
      </c>
      <c r="L9" s="296"/>
      <c r="M9" s="296">
        <v>0</v>
      </c>
      <c r="N9" s="296">
        <v>100000</v>
      </c>
      <c r="O9" s="298">
        <v>0</v>
      </c>
      <c r="P9" s="299"/>
      <c r="Q9" s="304"/>
      <c r="R9" s="305"/>
      <c r="S9" s="308"/>
      <c r="T9" s="308"/>
      <c r="U9" s="308"/>
      <c r="V9" s="293" t="s">
        <v>301</v>
      </c>
      <c r="W9" s="300" t="s">
        <v>309</v>
      </c>
      <c r="X9" s="305"/>
      <c r="Y9" s="305"/>
      <c r="Z9" s="305"/>
      <c r="AA9" s="305" t="s">
        <v>387</v>
      </c>
      <c r="AB9" s="305"/>
      <c r="AC9" s="305"/>
      <c r="AD9" s="305"/>
      <c r="AE9" s="305"/>
    </row>
    <row r="10" spans="1:31" ht="52.5">
      <c r="A10" s="301">
        <f t="shared" si="0"/>
        <v>9</v>
      </c>
      <c r="B10" s="293" t="s">
        <v>379</v>
      </c>
      <c r="C10" s="293" t="s">
        <v>380</v>
      </c>
      <c r="D10" s="302" t="s">
        <v>301</v>
      </c>
      <c r="E10" s="294" t="s">
        <v>337</v>
      </c>
      <c r="F10" s="308">
        <v>0</v>
      </c>
      <c r="G10" s="303">
        <v>0</v>
      </c>
      <c r="H10" s="296">
        <v>0</v>
      </c>
      <c r="I10" s="296">
        <v>0</v>
      </c>
      <c r="J10" s="296">
        <v>0</v>
      </c>
      <c r="K10" s="297" t="s">
        <v>498</v>
      </c>
      <c r="L10" s="296">
        <v>0</v>
      </c>
      <c r="M10" s="296">
        <v>75000</v>
      </c>
      <c r="N10" s="296">
        <v>75000</v>
      </c>
      <c r="O10" s="298">
        <v>0</v>
      </c>
      <c r="P10" s="299"/>
      <c r="Q10" s="304"/>
      <c r="R10" s="309"/>
      <c r="S10" s="308"/>
      <c r="T10" s="308"/>
      <c r="U10" s="308"/>
      <c r="V10" s="293" t="s">
        <v>301</v>
      </c>
      <c r="W10" s="300" t="s">
        <v>309</v>
      </c>
      <c r="X10" s="305"/>
      <c r="Y10" s="305"/>
      <c r="Z10" s="305"/>
      <c r="AA10" s="305" t="s">
        <v>387</v>
      </c>
      <c r="AB10" s="305"/>
      <c r="AC10" s="305"/>
      <c r="AD10" s="305"/>
      <c r="AE10" s="310"/>
    </row>
    <row r="11" spans="1:31" ht="52.5">
      <c r="A11" s="301">
        <f t="shared" si="0"/>
        <v>10</v>
      </c>
      <c r="B11" s="293" t="s">
        <v>381</v>
      </c>
      <c r="C11" s="293" t="s">
        <v>382</v>
      </c>
      <c r="D11" s="302" t="s">
        <v>301</v>
      </c>
      <c r="E11" s="294" t="s">
        <v>337</v>
      </c>
      <c r="F11" s="308">
        <v>0</v>
      </c>
      <c r="G11" s="303">
        <v>0</v>
      </c>
      <c r="H11" s="296">
        <v>0</v>
      </c>
      <c r="I11" s="296">
        <v>0</v>
      </c>
      <c r="J11" s="296">
        <v>0</v>
      </c>
      <c r="K11" s="297" t="s">
        <v>498</v>
      </c>
      <c r="L11" s="296">
        <v>0</v>
      </c>
      <c r="M11" s="296">
        <v>200000</v>
      </c>
      <c r="N11" s="296">
        <v>0</v>
      </c>
      <c r="O11" s="298">
        <v>0</v>
      </c>
      <c r="P11" s="299"/>
      <c r="Q11" s="304"/>
      <c r="R11" s="305"/>
      <c r="S11" s="308"/>
      <c r="T11" s="308"/>
      <c r="U11" s="308"/>
      <c r="V11" s="293" t="s">
        <v>301</v>
      </c>
      <c r="W11" s="300" t="s">
        <v>309</v>
      </c>
      <c r="X11" s="305"/>
      <c r="Y11" s="305"/>
      <c r="Z11" s="305"/>
      <c r="AA11" s="305" t="s">
        <v>387</v>
      </c>
      <c r="AB11" s="305"/>
      <c r="AC11" s="305"/>
      <c r="AD11" s="305"/>
      <c r="AE11" s="305"/>
    </row>
    <row r="12" spans="1:31" ht="52.5">
      <c r="A12" s="301">
        <f t="shared" si="0"/>
        <v>11</v>
      </c>
      <c r="B12" s="293" t="s">
        <v>550</v>
      </c>
      <c r="C12" s="293" t="s">
        <v>566</v>
      </c>
      <c r="D12" s="302" t="s">
        <v>301</v>
      </c>
      <c r="E12" s="294" t="s">
        <v>337</v>
      </c>
      <c r="F12" s="308">
        <v>0</v>
      </c>
      <c r="G12" s="303">
        <v>0</v>
      </c>
      <c r="H12" s="296">
        <v>0</v>
      </c>
      <c r="I12" s="296">
        <v>0</v>
      </c>
      <c r="J12" s="296">
        <v>0</v>
      </c>
      <c r="K12" s="297" t="s">
        <v>498</v>
      </c>
      <c r="L12" s="296">
        <v>250000</v>
      </c>
      <c r="M12" s="296">
        <v>0</v>
      </c>
      <c r="N12" s="296">
        <v>0</v>
      </c>
      <c r="O12" s="298">
        <v>0</v>
      </c>
      <c r="P12" s="299"/>
      <c r="Q12" s="304"/>
      <c r="R12" s="305"/>
      <c r="S12" s="308"/>
      <c r="T12" s="303"/>
      <c r="U12" s="308"/>
      <c r="V12" s="293" t="s">
        <v>301</v>
      </c>
      <c r="W12" s="300" t="s">
        <v>309</v>
      </c>
      <c r="X12" s="305"/>
      <c r="Y12" s="305"/>
      <c r="Z12" s="305"/>
      <c r="AA12" s="305" t="s">
        <v>387</v>
      </c>
      <c r="AB12" s="305"/>
      <c r="AC12" s="305"/>
      <c r="AD12" s="305"/>
      <c r="AE12" s="305"/>
    </row>
    <row r="13" spans="1:31" ht="52.5">
      <c r="A13" s="301">
        <f t="shared" si="0"/>
        <v>12</v>
      </c>
      <c r="B13" s="293" t="s">
        <v>567</v>
      </c>
      <c r="C13" s="293" t="s">
        <v>568</v>
      </c>
      <c r="D13" s="302" t="s">
        <v>301</v>
      </c>
      <c r="E13" s="294" t="s">
        <v>337</v>
      </c>
      <c r="F13" s="308">
        <v>0</v>
      </c>
      <c r="G13" s="303">
        <v>0</v>
      </c>
      <c r="H13" s="296">
        <v>0</v>
      </c>
      <c r="I13" s="296"/>
      <c r="J13" s="296"/>
      <c r="K13" s="297" t="s">
        <v>498</v>
      </c>
      <c r="L13" s="296">
        <v>80000</v>
      </c>
      <c r="M13" s="296">
        <v>100000</v>
      </c>
      <c r="N13" s="296">
        <v>50000</v>
      </c>
      <c r="O13" s="298">
        <v>0</v>
      </c>
      <c r="P13" s="299"/>
      <c r="Q13" s="304"/>
      <c r="R13" s="305"/>
      <c r="S13" s="308"/>
      <c r="T13" s="303"/>
      <c r="U13" s="308"/>
      <c r="V13" s="293" t="s">
        <v>301</v>
      </c>
      <c r="W13" s="300" t="s">
        <v>309</v>
      </c>
      <c r="X13" s="305"/>
      <c r="Y13" s="305"/>
      <c r="Z13" s="305"/>
      <c r="AA13" s="305"/>
      <c r="AB13" s="305"/>
      <c r="AC13" s="305"/>
      <c r="AD13" s="305"/>
      <c r="AE13" s="310"/>
    </row>
    <row r="14" spans="1:31" ht="52.5">
      <c r="A14" s="301">
        <f t="shared" si="0"/>
        <v>13</v>
      </c>
      <c r="B14" s="293" t="s">
        <v>383</v>
      </c>
      <c r="C14" s="293" t="s">
        <v>384</v>
      </c>
      <c r="D14" s="302" t="s">
        <v>301</v>
      </c>
      <c r="E14" s="294" t="s">
        <v>337</v>
      </c>
      <c r="F14" s="303">
        <v>0</v>
      </c>
      <c r="G14" s="303">
        <v>0</v>
      </c>
      <c r="H14" s="296">
        <v>0</v>
      </c>
      <c r="I14" s="296"/>
      <c r="J14" s="296"/>
      <c r="K14" s="297" t="s">
        <v>498</v>
      </c>
      <c r="L14" s="296">
        <v>0</v>
      </c>
      <c r="M14" s="296">
        <v>0</v>
      </c>
      <c r="N14" s="296">
        <v>0</v>
      </c>
      <c r="O14" s="298">
        <v>0</v>
      </c>
      <c r="P14" s="299"/>
      <c r="Q14" s="304"/>
      <c r="R14" s="305"/>
      <c r="S14" s="303"/>
      <c r="T14" s="303"/>
      <c r="U14" s="303"/>
      <c r="V14" s="293" t="s">
        <v>301</v>
      </c>
      <c r="W14" s="300" t="s">
        <v>309</v>
      </c>
      <c r="X14" s="305"/>
      <c r="Y14" s="305"/>
      <c r="Z14" s="305"/>
      <c r="AA14" s="305"/>
      <c r="AB14" s="305"/>
      <c r="AC14" s="305"/>
      <c r="AD14" s="305"/>
      <c r="AE14" s="305"/>
    </row>
    <row r="15" spans="1:31" ht="52.5">
      <c r="A15" s="301">
        <f t="shared" si="0"/>
        <v>14</v>
      </c>
      <c r="B15" s="293" t="s">
        <v>391</v>
      </c>
      <c r="C15" s="293" t="s">
        <v>392</v>
      </c>
      <c r="D15" s="302" t="s">
        <v>271</v>
      </c>
      <c r="E15" s="304" t="s">
        <v>393</v>
      </c>
      <c r="F15" s="303">
        <v>0</v>
      </c>
      <c r="G15" s="303">
        <v>74240.11</v>
      </c>
      <c r="H15" s="296">
        <v>0</v>
      </c>
      <c r="I15" s="296">
        <v>0</v>
      </c>
      <c r="J15" s="296">
        <v>0</v>
      </c>
      <c r="K15" s="297" t="s">
        <v>498</v>
      </c>
      <c r="L15" s="296">
        <v>0</v>
      </c>
      <c r="M15" s="296">
        <v>0</v>
      </c>
      <c r="N15" s="296">
        <v>0</v>
      </c>
      <c r="O15" s="298">
        <v>0</v>
      </c>
      <c r="P15" s="299"/>
      <c r="Q15" s="304"/>
      <c r="R15" s="305"/>
      <c r="S15" s="303"/>
      <c r="T15" s="303"/>
      <c r="U15" s="303"/>
      <c r="V15" s="305" t="s">
        <v>271</v>
      </c>
      <c r="W15" s="305" t="s">
        <v>472</v>
      </c>
      <c r="X15" s="305"/>
      <c r="Y15" s="305"/>
      <c r="Z15" s="305"/>
      <c r="AA15" s="305" t="s">
        <v>387</v>
      </c>
      <c r="AB15" s="305"/>
      <c r="AC15" s="305"/>
      <c r="AD15" s="305"/>
      <c r="AE15" s="305"/>
    </row>
    <row r="16" spans="1:31" ht="52.5">
      <c r="A16" s="301">
        <f t="shared" si="0"/>
        <v>15</v>
      </c>
      <c r="B16" s="293" t="s">
        <v>552</v>
      </c>
      <c r="C16" s="293" t="s">
        <v>552</v>
      </c>
      <c r="D16" s="302" t="s">
        <v>271</v>
      </c>
      <c r="E16" s="304" t="s">
        <v>393</v>
      </c>
      <c r="F16" s="303">
        <v>0</v>
      </c>
      <c r="G16" s="303">
        <v>0</v>
      </c>
      <c r="H16" s="296">
        <v>0</v>
      </c>
      <c r="I16" s="296">
        <v>223891.18</v>
      </c>
      <c r="J16" s="296">
        <v>223891.18</v>
      </c>
      <c r="K16" s="297">
        <v>1</v>
      </c>
      <c r="L16" s="296">
        <v>0</v>
      </c>
      <c r="M16" s="296">
        <v>0</v>
      </c>
      <c r="N16" s="296">
        <v>0</v>
      </c>
      <c r="O16" s="298">
        <v>0</v>
      </c>
      <c r="P16" s="299"/>
      <c r="Q16" s="304"/>
      <c r="R16" s="305"/>
      <c r="S16" s="303"/>
      <c r="T16" s="303"/>
      <c r="U16" s="303"/>
      <c r="V16" s="305" t="s">
        <v>271</v>
      </c>
      <c r="W16" s="305" t="s">
        <v>472</v>
      </c>
      <c r="X16" s="305"/>
      <c r="Y16" s="305"/>
      <c r="Z16" s="305"/>
      <c r="AA16" s="305"/>
      <c r="AB16" s="305"/>
      <c r="AC16" s="305"/>
      <c r="AD16" s="305"/>
      <c r="AE16" s="305"/>
    </row>
    <row r="17" spans="1:31" ht="52.5">
      <c r="A17" s="301">
        <f t="shared" si="0"/>
        <v>16</v>
      </c>
      <c r="B17" s="293" t="s">
        <v>561</v>
      </c>
      <c r="C17" s="293" t="s">
        <v>558</v>
      </c>
      <c r="D17" s="302" t="s">
        <v>271</v>
      </c>
      <c r="E17" s="304" t="s">
        <v>393</v>
      </c>
      <c r="F17" s="303">
        <v>0</v>
      </c>
      <c r="G17" s="303">
        <v>0</v>
      </c>
      <c r="H17" s="296">
        <v>0</v>
      </c>
      <c r="I17" s="296">
        <v>0</v>
      </c>
      <c r="J17" s="296">
        <v>0</v>
      </c>
      <c r="K17" s="297" t="s">
        <v>498</v>
      </c>
      <c r="L17" s="296">
        <v>130830</v>
      </c>
      <c r="M17" s="296">
        <v>0</v>
      </c>
      <c r="N17" s="296">
        <v>0</v>
      </c>
      <c r="O17" s="296">
        <v>0</v>
      </c>
      <c r="P17" s="299"/>
      <c r="Q17" s="304"/>
      <c r="R17" s="305"/>
      <c r="S17" s="303"/>
      <c r="T17" s="303"/>
      <c r="U17" s="303"/>
      <c r="V17" s="305" t="s">
        <v>271</v>
      </c>
      <c r="W17" s="305" t="s">
        <v>472</v>
      </c>
      <c r="X17" s="305"/>
      <c r="Y17" s="305"/>
      <c r="Z17" s="305"/>
      <c r="AA17" s="305" t="s">
        <v>559</v>
      </c>
      <c r="AB17" s="305"/>
      <c r="AC17" s="305"/>
      <c r="AD17" s="305"/>
      <c r="AE17" s="305"/>
    </row>
    <row r="18" spans="1:31" ht="52.5">
      <c r="A18" s="301">
        <f t="shared" si="0"/>
        <v>17</v>
      </c>
      <c r="B18" s="293" t="s">
        <v>562</v>
      </c>
      <c r="C18" s="293" t="s">
        <v>562</v>
      </c>
      <c r="D18" s="302" t="s">
        <v>271</v>
      </c>
      <c r="E18" s="294" t="s">
        <v>564</v>
      </c>
      <c r="F18" s="303">
        <v>0</v>
      </c>
      <c r="G18" s="303">
        <v>0</v>
      </c>
      <c r="H18" s="296">
        <v>0</v>
      </c>
      <c r="I18" s="296">
        <v>0</v>
      </c>
      <c r="J18" s="296">
        <v>0</v>
      </c>
      <c r="K18" s="297" t="s">
        <v>498</v>
      </c>
      <c r="L18" s="296">
        <v>21960</v>
      </c>
      <c r="M18" s="296">
        <v>0</v>
      </c>
      <c r="N18" s="296">
        <v>0</v>
      </c>
      <c r="O18" s="296">
        <v>0</v>
      </c>
      <c r="P18" s="299"/>
      <c r="Q18" s="304"/>
      <c r="R18" s="305"/>
      <c r="S18" s="303"/>
      <c r="T18" s="303"/>
      <c r="U18" s="303"/>
      <c r="V18" s="305" t="s">
        <v>271</v>
      </c>
      <c r="W18" s="305" t="s">
        <v>472</v>
      </c>
      <c r="X18" s="305"/>
      <c r="Y18" s="305"/>
      <c r="Z18" s="305"/>
      <c r="AA18" s="305"/>
      <c r="AB18" s="305"/>
      <c r="AC18" s="305"/>
      <c r="AD18" s="305"/>
      <c r="AE18" s="305"/>
    </row>
    <row r="19" spans="1:31" ht="52.5">
      <c r="A19" s="301">
        <f t="shared" si="0"/>
        <v>18</v>
      </c>
      <c r="B19" s="293" t="s">
        <v>563</v>
      </c>
      <c r="C19" s="293" t="s">
        <v>562</v>
      </c>
      <c r="D19" s="302" t="s">
        <v>271</v>
      </c>
      <c r="E19" s="294" t="s">
        <v>565</v>
      </c>
      <c r="F19" s="303">
        <v>0</v>
      </c>
      <c r="G19" s="303">
        <v>0</v>
      </c>
      <c r="H19" s="296">
        <v>0</v>
      </c>
      <c r="I19" s="296">
        <v>0</v>
      </c>
      <c r="J19" s="296">
        <v>0</v>
      </c>
      <c r="K19" s="297" t="s">
        <v>498</v>
      </c>
      <c r="L19" s="296">
        <v>32924.879999999997</v>
      </c>
      <c r="M19" s="296">
        <v>0</v>
      </c>
      <c r="N19" s="296">
        <v>0</v>
      </c>
      <c r="O19" s="296">
        <v>0</v>
      </c>
      <c r="P19" s="299"/>
      <c r="Q19" s="304"/>
      <c r="R19" s="305"/>
      <c r="S19" s="303"/>
      <c r="T19" s="303"/>
      <c r="U19" s="303"/>
      <c r="V19" s="305" t="s">
        <v>271</v>
      </c>
      <c r="W19" s="305" t="s">
        <v>472</v>
      </c>
      <c r="X19" s="305"/>
      <c r="Y19" s="305"/>
      <c r="Z19" s="305"/>
      <c r="AA19" s="305"/>
      <c r="AB19" s="305"/>
      <c r="AC19" s="305"/>
      <c r="AD19" s="305"/>
      <c r="AE19" s="305"/>
    </row>
    <row r="20" spans="1:31" ht="52.5">
      <c r="A20" s="301">
        <f t="shared" si="0"/>
        <v>19</v>
      </c>
      <c r="B20" s="293" t="s">
        <v>553</v>
      </c>
      <c r="C20" s="293" t="s">
        <v>553</v>
      </c>
      <c r="D20" s="302" t="s">
        <v>554</v>
      </c>
      <c r="E20" s="304" t="s">
        <v>555</v>
      </c>
      <c r="F20" s="303">
        <v>0</v>
      </c>
      <c r="G20" s="303">
        <v>0</v>
      </c>
      <c r="H20" s="296">
        <v>0</v>
      </c>
      <c r="I20" s="296">
        <v>0</v>
      </c>
      <c r="J20" s="296">
        <v>0</v>
      </c>
      <c r="K20" s="297" t="s">
        <v>498</v>
      </c>
      <c r="L20" s="296">
        <v>2737500</v>
      </c>
      <c r="M20" s="296">
        <v>0</v>
      </c>
      <c r="N20" s="296">
        <v>0</v>
      </c>
      <c r="O20" s="298">
        <v>0</v>
      </c>
      <c r="P20" s="299"/>
      <c r="Q20" s="304"/>
      <c r="R20" s="305"/>
      <c r="S20" s="303"/>
      <c r="T20" s="303"/>
      <c r="U20" s="303"/>
      <c r="V20" s="305" t="s">
        <v>69</v>
      </c>
      <c r="W20" s="305" t="s">
        <v>646</v>
      </c>
      <c r="X20" s="305"/>
      <c r="Y20" s="305"/>
      <c r="Z20" s="305"/>
      <c r="AA20" s="305" t="s">
        <v>623</v>
      </c>
      <c r="AB20" s="305"/>
      <c r="AC20" s="305"/>
      <c r="AD20" s="305"/>
      <c r="AE20" s="305"/>
    </row>
    <row r="21" spans="1:31" ht="52.5">
      <c r="A21" s="301">
        <f t="shared" si="0"/>
        <v>20</v>
      </c>
      <c r="B21" s="293" t="s">
        <v>624</v>
      </c>
      <c r="C21" s="293" t="s">
        <v>624</v>
      </c>
      <c r="D21" s="302" t="s">
        <v>554</v>
      </c>
      <c r="E21" s="304" t="s">
        <v>555</v>
      </c>
      <c r="F21" s="303">
        <v>0</v>
      </c>
      <c r="G21" s="303">
        <v>0</v>
      </c>
      <c r="H21" s="296">
        <v>0</v>
      </c>
      <c r="I21" s="296">
        <v>0</v>
      </c>
      <c r="J21" s="296">
        <v>0</v>
      </c>
      <c r="K21" s="297" t="s">
        <v>498</v>
      </c>
      <c r="L21" s="296">
        <v>1180000</v>
      </c>
      <c r="M21" s="296">
        <v>0</v>
      </c>
      <c r="N21" s="296">
        <v>0</v>
      </c>
      <c r="O21" s="298">
        <v>0</v>
      </c>
      <c r="P21" s="299"/>
      <c r="Q21" s="304"/>
      <c r="R21" s="305"/>
      <c r="S21" s="303"/>
      <c r="T21" s="303"/>
      <c r="U21" s="303"/>
      <c r="V21" s="305" t="s">
        <v>69</v>
      </c>
      <c r="W21" s="305" t="s">
        <v>646</v>
      </c>
      <c r="X21" s="305"/>
      <c r="Y21" s="305"/>
      <c r="Z21" s="305"/>
      <c r="AA21" s="305" t="s">
        <v>627</v>
      </c>
      <c r="AB21" s="305"/>
      <c r="AC21" s="305"/>
      <c r="AD21" s="305"/>
      <c r="AE21" s="305"/>
    </row>
    <row r="22" spans="1:31" ht="52.5">
      <c r="A22" s="301">
        <f t="shared" si="0"/>
        <v>21</v>
      </c>
      <c r="B22" s="293" t="s">
        <v>626</v>
      </c>
      <c r="C22" s="293" t="s">
        <v>626</v>
      </c>
      <c r="D22" s="302" t="s">
        <v>554</v>
      </c>
      <c r="E22" s="304" t="s">
        <v>555</v>
      </c>
      <c r="F22" s="303">
        <v>0</v>
      </c>
      <c r="G22" s="303">
        <v>0</v>
      </c>
      <c r="H22" s="296">
        <v>0</v>
      </c>
      <c r="I22" s="296">
        <v>0</v>
      </c>
      <c r="J22" s="296">
        <v>0</v>
      </c>
      <c r="K22" s="297" t="s">
        <v>498</v>
      </c>
      <c r="L22" s="296">
        <v>300000</v>
      </c>
      <c r="M22" s="296">
        <v>0</v>
      </c>
      <c r="N22" s="296">
        <v>0</v>
      </c>
      <c r="O22" s="298">
        <v>0</v>
      </c>
      <c r="P22" s="299"/>
      <c r="Q22" s="304"/>
      <c r="R22" s="305"/>
      <c r="S22" s="303"/>
      <c r="T22" s="303"/>
      <c r="U22" s="303"/>
      <c r="V22" s="305" t="s">
        <v>69</v>
      </c>
      <c r="W22" s="305" t="s">
        <v>646</v>
      </c>
      <c r="X22" s="305"/>
      <c r="Y22" s="305"/>
      <c r="Z22" s="305"/>
      <c r="AA22" s="305" t="s">
        <v>627</v>
      </c>
      <c r="AB22" s="305"/>
      <c r="AC22" s="305"/>
      <c r="AD22" s="305"/>
      <c r="AE22" s="305"/>
    </row>
    <row r="23" spans="1:31" ht="52.5">
      <c r="A23" s="301">
        <f t="shared" si="0"/>
        <v>22</v>
      </c>
      <c r="B23" s="293" t="s">
        <v>625</v>
      </c>
      <c r="C23" s="293" t="s">
        <v>625</v>
      </c>
      <c r="D23" s="302" t="s">
        <v>554</v>
      </c>
      <c r="E23" s="304" t="s">
        <v>555</v>
      </c>
      <c r="F23" s="303">
        <v>0</v>
      </c>
      <c r="G23" s="303">
        <v>0</v>
      </c>
      <c r="H23" s="296">
        <v>0</v>
      </c>
      <c r="I23" s="296">
        <v>0</v>
      </c>
      <c r="J23" s="296">
        <v>0</v>
      </c>
      <c r="K23" s="297" t="s">
        <v>498</v>
      </c>
      <c r="L23" s="296">
        <v>2100000</v>
      </c>
      <c r="M23" s="296">
        <v>0</v>
      </c>
      <c r="N23" s="296">
        <v>0</v>
      </c>
      <c r="O23" s="298">
        <v>0</v>
      </c>
      <c r="P23" s="299"/>
      <c r="Q23" s="304"/>
      <c r="R23" s="305"/>
      <c r="S23" s="303"/>
      <c r="T23" s="303"/>
      <c r="U23" s="303"/>
      <c r="V23" s="305" t="s">
        <v>69</v>
      </c>
      <c r="W23" s="305" t="s">
        <v>646</v>
      </c>
      <c r="X23" s="305"/>
      <c r="Y23" s="305"/>
      <c r="Z23" s="305"/>
      <c r="AA23" s="305" t="s">
        <v>627</v>
      </c>
      <c r="AB23" s="305"/>
      <c r="AC23" s="305"/>
      <c r="AD23" s="305"/>
      <c r="AE23" s="305"/>
    </row>
    <row r="24" spans="1:31" ht="52.5">
      <c r="A24" s="301">
        <f t="shared" si="0"/>
        <v>23</v>
      </c>
      <c r="B24" s="293" t="s">
        <v>488</v>
      </c>
      <c r="C24" s="293" t="s">
        <v>489</v>
      </c>
      <c r="D24" s="302" t="s">
        <v>290</v>
      </c>
      <c r="E24" s="304" t="s">
        <v>339</v>
      </c>
      <c r="F24" s="303">
        <v>0</v>
      </c>
      <c r="G24" s="303">
        <v>42188.25</v>
      </c>
      <c r="H24" s="296">
        <v>0</v>
      </c>
      <c r="I24" s="296">
        <v>0</v>
      </c>
      <c r="J24" s="296">
        <v>0</v>
      </c>
      <c r="K24" s="297" t="s">
        <v>498</v>
      </c>
      <c r="L24" s="296">
        <v>0</v>
      </c>
      <c r="M24" s="296">
        <v>0</v>
      </c>
      <c r="N24" s="296">
        <v>0</v>
      </c>
      <c r="O24" s="298">
        <v>0</v>
      </c>
      <c r="P24" s="299"/>
      <c r="Q24" s="304"/>
      <c r="R24" s="305"/>
      <c r="S24" s="303"/>
      <c r="T24" s="303"/>
      <c r="U24" s="303"/>
      <c r="V24" s="305" t="s">
        <v>69</v>
      </c>
      <c r="W24" s="305" t="s">
        <v>646</v>
      </c>
      <c r="X24" s="305"/>
      <c r="Y24" s="305"/>
      <c r="Z24" s="305"/>
      <c r="AA24" s="305"/>
      <c r="AB24" s="305"/>
      <c r="AC24" s="305"/>
      <c r="AD24" s="305"/>
      <c r="AE24" s="305"/>
    </row>
    <row r="25" spans="1:31" ht="52.5">
      <c r="A25" s="301">
        <f t="shared" si="0"/>
        <v>24</v>
      </c>
      <c r="B25" s="293" t="s">
        <v>635</v>
      </c>
      <c r="C25" s="293" t="s">
        <v>635</v>
      </c>
      <c r="D25" s="302" t="s">
        <v>290</v>
      </c>
      <c r="E25" s="304" t="s">
        <v>339</v>
      </c>
      <c r="F25" s="303">
        <v>1210000</v>
      </c>
      <c r="G25" s="303">
        <v>40690.25</v>
      </c>
      <c r="H25" s="296">
        <v>800000</v>
      </c>
      <c r="I25" s="296">
        <v>36369.71</v>
      </c>
      <c r="J25" s="296">
        <v>60369.71</v>
      </c>
      <c r="K25" s="297" t="s">
        <v>498</v>
      </c>
      <c r="L25" s="296">
        <v>0</v>
      </c>
      <c r="M25" s="296">
        <v>0</v>
      </c>
      <c r="N25" s="296">
        <v>0</v>
      </c>
      <c r="O25" s="298">
        <v>0</v>
      </c>
      <c r="P25" s="299" t="s">
        <v>368</v>
      </c>
      <c r="Q25" s="304" t="s">
        <v>369</v>
      </c>
      <c r="R25" s="305" t="s">
        <v>330</v>
      </c>
      <c r="S25" s="303">
        <v>900000</v>
      </c>
      <c r="T25" s="303"/>
      <c r="U25" s="303">
        <v>900000</v>
      </c>
      <c r="V25" s="305" t="s">
        <v>294</v>
      </c>
      <c r="W25" s="305" t="s">
        <v>303</v>
      </c>
      <c r="X25" s="305"/>
      <c r="Y25" s="305"/>
      <c r="Z25" s="305" t="s">
        <v>23</v>
      </c>
      <c r="AA25" s="305" t="s">
        <v>298</v>
      </c>
      <c r="AB25" s="305"/>
      <c r="AC25" s="305"/>
      <c r="AD25" s="305"/>
      <c r="AE25" s="305" t="s">
        <v>363</v>
      </c>
    </row>
    <row r="26" spans="1:31" ht="52.5">
      <c r="A26" s="301">
        <f t="shared" si="0"/>
        <v>25</v>
      </c>
      <c r="B26" s="293" t="s">
        <v>636</v>
      </c>
      <c r="C26" s="293" t="s">
        <v>636</v>
      </c>
      <c r="D26" s="302" t="s">
        <v>290</v>
      </c>
      <c r="E26" s="304" t="s">
        <v>370</v>
      </c>
      <c r="F26" s="303">
        <v>0</v>
      </c>
      <c r="G26" s="303">
        <v>0</v>
      </c>
      <c r="H26" s="296">
        <v>0</v>
      </c>
      <c r="I26" s="296">
        <v>0</v>
      </c>
      <c r="J26" s="296">
        <v>0</v>
      </c>
      <c r="K26" s="297" t="s">
        <v>498</v>
      </c>
      <c r="L26" s="296">
        <v>822940.04</v>
      </c>
      <c r="M26" s="296">
        <v>0</v>
      </c>
      <c r="N26" s="296">
        <v>0</v>
      </c>
      <c r="O26" s="298">
        <v>0</v>
      </c>
      <c r="P26" s="299"/>
      <c r="Q26" s="304"/>
      <c r="R26" s="305"/>
      <c r="S26" s="303"/>
      <c r="T26" s="303"/>
      <c r="U26" s="303"/>
      <c r="V26" s="305" t="s">
        <v>294</v>
      </c>
      <c r="W26" s="305" t="s">
        <v>303</v>
      </c>
      <c r="X26" s="305"/>
      <c r="Y26" s="305"/>
      <c r="Z26" s="305"/>
      <c r="AA26" s="305"/>
      <c r="AB26" s="305"/>
      <c r="AC26" s="305"/>
      <c r="AD26" s="305"/>
      <c r="AE26" s="305"/>
    </row>
    <row r="27" spans="1:31" ht="52.5">
      <c r="A27" s="301">
        <f t="shared" si="0"/>
        <v>26</v>
      </c>
      <c r="B27" s="293" t="s">
        <v>292</v>
      </c>
      <c r="C27" s="293" t="s">
        <v>292</v>
      </c>
      <c r="D27" s="302" t="s">
        <v>290</v>
      </c>
      <c r="E27" s="304" t="s">
        <v>370</v>
      </c>
      <c r="F27" s="303">
        <v>120000</v>
      </c>
      <c r="G27" s="303">
        <v>0</v>
      </c>
      <c r="H27" s="296">
        <v>0</v>
      </c>
      <c r="I27" s="296">
        <v>0</v>
      </c>
      <c r="J27" s="296">
        <v>0</v>
      </c>
      <c r="K27" s="297" t="s">
        <v>498</v>
      </c>
      <c r="L27" s="296">
        <v>0</v>
      </c>
      <c r="M27" s="296">
        <v>150000</v>
      </c>
      <c r="N27" s="296">
        <v>0</v>
      </c>
      <c r="O27" s="298">
        <v>0</v>
      </c>
      <c r="P27" s="299"/>
      <c r="Q27" s="304"/>
      <c r="R27" s="305"/>
      <c r="S27" s="303"/>
      <c r="T27" s="303"/>
      <c r="U27" s="303"/>
      <c r="V27" s="305" t="s">
        <v>294</v>
      </c>
      <c r="W27" s="305" t="s">
        <v>303</v>
      </c>
      <c r="X27" s="305"/>
      <c r="Y27" s="305"/>
      <c r="Z27" s="305" t="s">
        <v>23</v>
      </c>
      <c r="AA27" s="305" t="s">
        <v>387</v>
      </c>
      <c r="AB27" s="305"/>
      <c r="AC27" s="305"/>
      <c r="AD27" s="305"/>
      <c r="AE27" s="305"/>
    </row>
    <row r="28" spans="1:31" ht="52.5">
      <c r="A28" s="301">
        <f t="shared" si="0"/>
        <v>27</v>
      </c>
      <c r="B28" s="293" t="s">
        <v>293</v>
      </c>
      <c r="C28" s="293" t="s">
        <v>293</v>
      </c>
      <c r="D28" s="302" t="s">
        <v>290</v>
      </c>
      <c r="E28" s="304" t="s">
        <v>339</v>
      </c>
      <c r="F28" s="303">
        <v>70000</v>
      </c>
      <c r="G28" s="303">
        <v>0</v>
      </c>
      <c r="H28" s="296">
        <v>0</v>
      </c>
      <c r="I28" s="296">
        <v>0</v>
      </c>
      <c r="J28" s="296">
        <v>0</v>
      </c>
      <c r="K28" s="306">
        <v>0.05</v>
      </c>
      <c r="L28" s="296">
        <v>0</v>
      </c>
      <c r="M28" s="296">
        <v>0</v>
      </c>
      <c r="N28" s="296">
        <v>0</v>
      </c>
      <c r="O28" s="298">
        <v>0</v>
      </c>
      <c r="P28" s="299"/>
      <c r="Q28" s="304"/>
      <c r="R28" s="305"/>
      <c r="S28" s="303"/>
      <c r="T28" s="303"/>
      <c r="U28" s="303"/>
      <c r="V28" s="305" t="s">
        <v>294</v>
      </c>
      <c r="W28" s="305" t="s">
        <v>303</v>
      </c>
      <c r="X28" s="305"/>
      <c r="Y28" s="305"/>
      <c r="Z28" s="305" t="s">
        <v>23</v>
      </c>
      <c r="AA28" s="305" t="s">
        <v>298</v>
      </c>
      <c r="AB28" s="305"/>
      <c r="AC28" s="305"/>
      <c r="AD28" s="305"/>
      <c r="AE28" s="305"/>
    </row>
    <row r="29" spans="1:31" ht="52.5">
      <c r="A29" s="301">
        <f t="shared" si="0"/>
        <v>28</v>
      </c>
      <c r="B29" s="293" t="s">
        <v>385</v>
      </c>
      <c r="C29" s="293" t="s">
        <v>385</v>
      </c>
      <c r="D29" s="302" t="s">
        <v>290</v>
      </c>
      <c r="E29" s="304" t="s">
        <v>339</v>
      </c>
      <c r="F29" s="303">
        <v>400000</v>
      </c>
      <c r="G29" s="303">
        <v>324418.68000000005</v>
      </c>
      <c r="H29" s="296">
        <v>0</v>
      </c>
      <c r="I29" s="296">
        <v>26239.83</v>
      </c>
      <c r="J29" s="296">
        <v>26239.83</v>
      </c>
      <c r="K29" s="311" t="s">
        <v>498</v>
      </c>
      <c r="L29" s="296">
        <v>0</v>
      </c>
      <c r="M29" s="296">
        <v>0</v>
      </c>
      <c r="N29" s="296">
        <v>0</v>
      </c>
      <c r="O29" s="298">
        <v>0</v>
      </c>
      <c r="P29" s="299"/>
      <c r="Q29" s="304"/>
      <c r="R29" s="305"/>
      <c r="S29" s="303"/>
      <c r="T29" s="303"/>
      <c r="U29" s="303"/>
      <c r="V29" s="305" t="s">
        <v>294</v>
      </c>
      <c r="W29" s="305" t="s">
        <v>303</v>
      </c>
      <c r="X29" s="305"/>
      <c r="Y29" s="305"/>
      <c r="Z29" s="305" t="s">
        <v>23</v>
      </c>
      <c r="AA29" s="305" t="s">
        <v>298</v>
      </c>
      <c r="AB29" s="305"/>
      <c r="AC29" s="305"/>
      <c r="AD29" s="305"/>
      <c r="AE29" s="305" t="s">
        <v>366</v>
      </c>
    </row>
    <row r="30" spans="1:31" ht="52.5">
      <c r="A30" s="301">
        <f t="shared" si="0"/>
        <v>29</v>
      </c>
      <c r="B30" s="293" t="s">
        <v>491</v>
      </c>
      <c r="C30" s="293" t="s">
        <v>491</v>
      </c>
      <c r="D30" s="302" t="s">
        <v>290</v>
      </c>
      <c r="E30" s="304" t="s">
        <v>492</v>
      </c>
      <c r="F30" s="303">
        <v>0</v>
      </c>
      <c r="G30" s="303">
        <v>1766.7</v>
      </c>
      <c r="H30" s="296">
        <v>0</v>
      </c>
      <c r="I30" s="296">
        <v>0</v>
      </c>
      <c r="J30" s="296">
        <v>0</v>
      </c>
      <c r="K30" s="311" t="s">
        <v>498</v>
      </c>
      <c r="L30" s="296">
        <v>0</v>
      </c>
      <c r="M30" s="296">
        <v>0</v>
      </c>
      <c r="N30" s="296">
        <v>0</v>
      </c>
      <c r="O30" s="298">
        <v>0</v>
      </c>
      <c r="P30" s="299"/>
      <c r="Q30" s="304"/>
      <c r="R30" s="305"/>
      <c r="S30" s="303"/>
      <c r="T30" s="303"/>
      <c r="U30" s="303"/>
      <c r="V30" s="305" t="s">
        <v>294</v>
      </c>
      <c r="W30" s="305" t="s">
        <v>297</v>
      </c>
      <c r="X30" s="305"/>
      <c r="Y30" s="305"/>
      <c r="Z30" s="305"/>
      <c r="AA30" s="305"/>
      <c r="AB30" s="305"/>
      <c r="AC30" s="305"/>
      <c r="AD30" s="305"/>
      <c r="AE30" s="305"/>
    </row>
    <row r="31" spans="1:31" ht="52.5">
      <c r="A31" s="301">
        <f t="shared" si="0"/>
        <v>30</v>
      </c>
      <c r="B31" s="293" t="s">
        <v>611</v>
      </c>
      <c r="C31" s="293" t="s">
        <v>611</v>
      </c>
      <c r="D31" s="302" t="s">
        <v>290</v>
      </c>
      <c r="E31" s="304" t="s">
        <v>370</v>
      </c>
      <c r="F31" s="303">
        <v>0</v>
      </c>
      <c r="G31" s="303">
        <v>0</v>
      </c>
      <c r="H31" s="296">
        <v>10000</v>
      </c>
      <c r="I31" s="296">
        <v>7446.66</v>
      </c>
      <c r="J31" s="296">
        <v>20000</v>
      </c>
      <c r="K31" s="306">
        <v>1</v>
      </c>
      <c r="L31" s="296">
        <v>0</v>
      </c>
      <c r="M31" s="296">
        <v>0</v>
      </c>
      <c r="N31" s="296">
        <v>0</v>
      </c>
      <c r="O31" s="298">
        <v>0</v>
      </c>
      <c r="P31" s="299" t="s">
        <v>473</v>
      </c>
      <c r="Q31" s="304" t="s">
        <v>369</v>
      </c>
      <c r="R31" s="305" t="s">
        <v>330</v>
      </c>
      <c r="S31" s="303">
        <v>10000</v>
      </c>
      <c r="T31" s="303">
        <v>10000</v>
      </c>
      <c r="U31" s="303">
        <v>10000</v>
      </c>
      <c r="V31" s="305" t="s">
        <v>294</v>
      </c>
      <c r="W31" s="305" t="s">
        <v>303</v>
      </c>
      <c r="X31" s="305"/>
      <c r="Y31" s="305"/>
      <c r="Z31" s="305"/>
      <c r="AA31" s="305" t="s">
        <v>314</v>
      </c>
      <c r="AB31" s="305"/>
      <c r="AC31" s="305"/>
      <c r="AD31" s="305"/>
      <c r="AE31" s="305" t="s">
        <v>364</v>
      </c>
    </row>
    <row r="32" spans="1:31" ht="52.5">
      <c r="A32" s="301">
        <f t="shared" si="0"/>
        <v>31</v>
      </c>
      <c r="B32" s="293" t="s">
        <v>311</v>
      </c>
      <c r="C32" s="293" t="s">
        <v>397</v>
      </c>
      <c r="D32" s="302" t="s">
        <v>290</v>
      </c>
      <c r="E32" s="304" t="s">
        <v>370</v>
      </c>
      <c r="F32" s="303">
        <v>0</v>
      </c>
      <c r="G32" s="303">
        <v>0</v>
      </c>
      <c r="H32" s="296">
        <v>13000</v>
      </c>
      <c r="I32" s="296">
        <v>9771.0400000000009</v>
      </c>
      <c r="J32" s="296">
        <v>9771.0400000000009</v>
      </c>
      <c r="K32" s="297" t="s">
        <v>498</v>
      </c>
      <c r="L32" s="296">
        <v>13000</v>
      </c>
      <c r="M32" s="296">
        <v>13000</v>
      </c>
      <c r="N32" s="296"/>
      <c r="O32" s="298">
        <v>0</v>
      </c>
      <c r="P32" s="299"/>
      <c r="Q32" s="304"/>
      <c r="R32" s="305"/>
      <c r="S32" s="303"/>
      <c r="T32" s="303"/>
      <c r="U32" s="303"/>
      <c r="V32" s="305" t="s">
        <v>294</v>
      </c>
      <c r="W32" s="305" t="s">
        <v>303</v>
      </c>
      <c r="X32" s="305"/>
      <c r="Y32" s="305"/>
      <c r="Z32" s="305"/>
      <c r="AA32" s="305" t="s">
        <v>314</v>
      </c>
      <c r="AB32" s="305"/>
      <c r="AC32" s="305"/>
      <c r="AD32" s="305"/>
      <c r="AE32" s="305"/>
    </row>
    <row r="33" spans="1:146" ht="52.5">
      <c r="A33" s="301">
        <f t="shared" si="0"/>
        <v>32</v>
      </c>
      <c r="B33" s="293" t="s">
        <v>637</v>
      </c>
      <c r="C33" s="293" t="s">
        <v>637</v>
      </c>
      <c r="D33" s="302" t="s">
        <v>290</v>
      </c>
      <c r="E33" s="304" t="s">
        <v>339</v>
      </c>
      <c r="F33" s="303">
        <v>0</v>
      </c>
      <c r="G33" s="303">
        <v>0</v>
      </c>
      <c r="H33" s="296">
        <v>250000</v>
      </c>
      <c r="I33" s="303">
        <v>29436.799999999999</v>
      </c>
      <c r="J33" s="296">
        <v>33750</v>
      </c>
      <c r="K33" s="297">
        <v>0</v>
      </c>
      <c r="L33" s="296">
        <v>0</v>
      </c>
      <c r="M33" s="296">
        <v>0</v>
      </c>
      <c r="N33" s="296">
        <v>0</v>
      </c>
      <c r="O33" s="298">
        <v>0</v>
      </c>
      <c r="P33" s="299"/>
      <c r="Q33" s="304"/>
      <c r="R33" s="305"/>
      <c r="S33" s="303"/>
      <c r="T33" s="303"/>
      <c r="U33" s="303"/>
      <c r="V33" s="305" t="s">
        <v>294</v>
      </c>
      <c r="W33" s="305" t="s">
        <v>303</v>
      </c>
      <c r="X33" s="305"/>
      <c r="Y33" s="305"/>
      <c r="Z33" s="305"/>
      <c r="AA33" s="305" t="s">
        <v>298</v>
      </c>
      <c r="AB33" s="305"/>
      <c r="AC33" s="305"/>
      <c r="AD33" s="305"/>
      <c r="AE33" s="305"/>
    </row>
    <row r="34" spans="1:146" ht="52.5">
      <c r="A34" s="301">
        <f t="shared" si="0"/>
        <v>33</v>
      </c>
      <c r="B34" s="293" t="s">
        <v>638</v>
      </c>
      <c r="C34" s="293" t="s">
        <v>638</v>
      </c>
      <c r="D34" s="302" t="s">
        <v>290</v>
      </c>
      <c r="E34" s="304" t="s">
        <v>370</v>
      </c>
      <c r="F34" s="303">
        <v>0</v>
      </c>
      <c r="G34" s="303">
        <v>0</v>
      </c>
      <c r="H34" s="296">
        <v>0</v>
      </c>
      <c r="I34" s="296">
        <v>0</v>
      </c>
      <c r="J34" s="296">
        <v>0</v>
      </c>
      <c r="K34" s="306">
        <v>1</v>
      </c>
      <c r="L34" s="296">
        <v>479600.00000000006</v>
      </c>
      <c r="M34" s="296">
        <v>0</v>
      </c>
      <c r="N34" s="296">
        <v>0</v>
      </c>
      <c r="O34" s="298">
        <v>0</v>
      </c>
      <c r="P34" s="299"/>
      <c r="Q34" s="304"/>
      <c r="R34" s="305"/>
      <c r="S34" s="303"/>
      <c r="T34" s="303"/>
      <c r="U34" s="303"/>
      <c r="V34" s="305" t="s">
        <v>294</v>
      </c>
      <c r="W34" s="305" t="s">
        <v>303</v>
      </c>
      <c r="X34" s="305"/>
      <c r="Y34" s="305"/>
      <c r="Z34" s="305"/>
      <c r="AA34" s="305"/>
      <c r="AB34" s="305"/>
      <c r="AC34" s="305"/>
      <c r="AD34" s="305"/>
      <c r="AE34" s="305"/>
    </row>
    <row r="35" spans="1:146" ht="49.5" customHeight="1">
      <c r="A35" s="301">
        <f t="shared" si="0"/>
        <v>34</v>
      </c>
      <c r="B35" s="293" t="s">
        <v>579</v>
      </c>
      <c r="C35" s="293" t="s">
        <v>579</v>
      </c>
      <c r="D35" s="302" t="s">
        <v>290</v>
      </c>
      <c r="E35" s="304" t="s">
        <v>640</v>
      </c>
      <c r="F35" s="296">
        <v>0</v>
      </c>
      <c r="G35" s="296">
        <v>0</v>
      </c>
      <c r="H35" s="296">
        <v>25000</v>
      </c>
      <c r="I35" s="296">
        <v>0</v>
      </c>
      <c r="J35" s="296">
        <v>0</v>
      </c>
      <c r="K35" s="306">
        <v>0.05</v>
      </c>
      <c r="L35" s="296">
        <v>40000</v>
      </c>
      <c r="M35" s="296">
        <v>0</v>
      </c>
      <c r="N35" s="296">
        <v>0</v>
      </c>
      <c r="O35" s="298">
        <v>0</v>
      </c>
      <c r="P35" s="299"/>
      <c r="Q35" s="304"/>
      <c r="R35" s="305"/>
      <c r="S35" s="303"/>
      <c r="T35" s="303"/>
      <c r="U35" s="303"/>
      <c r="V35" s="305" t="s">
        <v>294</v>
      </c>
      <c r="W35" s="305" t="s">
        <v>303</v>
      </c>
      <c r="X35" s="305"/>
      <c r="Y35" s="305"/>
      <c r="Z35" s="305"/>
      <c r="AA35" s="305" t="s">
        <v>298</v>
      </c>
      <c r="AB35" s="305"/>
      <c r="AC35" s="305"/>
      <c r="AD35" s="305"/>
      <c r="AE35" s="305"/>
    </row>
    <row r="36" spans="1:146" ht="52.5">
      <c r="A36" s="301">
        <f t="shared" si="0"/>
        <v>35</v>
      </c>
      <c r="B36" s="293" t="s">
        <v>456</v>
      </c>
      <c r="C36" s="293" t="s">
        <v>456</v>
      </c>
      <c r="D36" s="302" t="s">
        <v>290</v>
      </c>
      <c r="E36" s="304" t="s">
        <v>370</v>
      </c>
      <c r="F36" s="296">
        <v>0</v>
      </c>
      <c r="G36" s="296">
        <v>0</v>
      </c>
      <c r="H36" s="296">
        <v>0</v>
      </c>
      <c r="I36" s="303">
        <v>0</v>
      </c>
      <c r="J36" s="303">
        <v>0</v>
      </c>
      <c r="K36" s="297">
        <v>0</v>
      </c>
      <c r="L36" s="296">
        <v>0</v>
      </c>
      <c r="M36" s="296">
        <v>0</v>
      </c>
      <c r="N36" s="296">
        <v>170000</v>
      </c>
      <c r="O36" s="298">
        <v>0</v>
      </c>
      <c r="P36" s="299"/>
      <c r="Q36" s="304"/>
      <c r="R36" s="305"/>
      <c r="S36" s="303"/>
      <c r="T36" s="303"/>
      <c r="U36" s="303"/>
      <c r="V36" s="305" t="s">
        <v>294</v>
      </c>
      <c r="W36" s="305" t="s">
        <v>303</v>
      </c>
      <c r="X36" s="305"/>
      <c r="Y36" s="305"/>
      <c r="Z36" s="305"/>
      <c r="AA36" s="305" t="s">
        <v>387</v>
      </c>
      <c r="AB36" s="305"/>
      <c r="AC36" s="305"/>
      <c r="AD36" s="305"/>
      <c r="AE36" s="305"/>
    </row>
    <row r="37" spans="1:146" ht="52.5">
      <c r="A37" s="301">
        <f t="shared" si="0"/>
        <v>36</v>
      </c>
      <c r="B37" s="293" t="s">
        <v>457</v>
      </c>
      <c r="C37" s="293" t="s">
        <v>457</v>
      </c>
      <c r="D37" s="302" t="s">
        <v>290</v>
      </c>
      <c r="E37" s="304" t="s">
        <v>370</v>
      </c>
      <c r="F37" s="296">
        <v>0</v>
      </c>
      <c r="G37" s="296">
        <v>0</v>
      </c>
      <c r="H37" s="296">
        <v>0</v>
      </c>
      <c r="I37" s="303">
        <v>0</v>
      </c>
      <c r="J37" s="303">
        <v>0</v>
      </c>
      <c r="K37" s="297" t="s">
        <v>498</v>
      </c>
      <c r="L37" s="296">
        <v>0</v>
      </c>
      <c r="M37" s="303">
        <v>6000</v>
      </c>
      <c r="N37" s="303">
        <v>0</v>
      </c>
      <c r="O37" s="298">
        <v>0</v>
      </c>
      <c r="P37" s="299"/>
      <c r="Q37" s="304"/>
      <c r="R37" s="305"/>
      <c r="S37" s="303"/>
      <c r="T37" s="303"/>
      <c r="U37" s="303"/>
      <c r="V37" s="305" t="s">
        <v>294</v>
      </c>
      <c r="W37" s="305" t="s">
        <v>303</v>
      </c>
      <c r="X37" s="305"/>
      <c r="Y37" s="305"/>
      <c r="Z37" s="305"/>
      <c r="AA37" s="305" t="s">
        <v>387</v>
      </c>
      <c r="AB37" s="305"/>
      <c r="AC37" s="305"/>
      <c r="AD37" s="305"/>
      <c r="AE37" s="305"/>
    </row>
    <row r="38" spans="1:146" ht="52.5">
      <c r="A38" s="301">
        <f t="shared" si="0"/>
        <v>37</v>
      </c>
      <c r="B38" s="336" t="s">
        <v>458</v>
      </c>
      <c r="C38" s="293" t="s">
        <v>458</v>
      </c>
      <c r="D38" s="302" t="s">
        <v>290</v>
      </c>
      <c r="E38" s="304" t="s">
        <v>370</v>
      </c>
      <c r="F38" s="296">
        <v>0</v>
      </c>
      <c r="G38" s="296">
        <v>0</v>
      </c>
      <c r="H38" s="296">
        <v>0</v>
      </c>
      <c r="I38" s="303">
        <v>0</v>
      </c>
      <c r="J38" s="303">
        <v>0</v>
      </c>
      <c r="K38" s="297" t="s">
        <v>498</v>
      </c>
      <c r="L38" s="296">
        <v>0</v>
      </c>
      <c r="M38" s="296">
        <v>0</v>
      </c>
      <c r="N38" s="296">
        <v>6000</v>
      </c>
      <c r="O38" s="298">
        <v>0</v>
      </c>
      <c r="P38" s="299"/>
      <c r="Q38" s="304"/>
      <c r="R38" s="305"/>
      <c r="S38" s="303"/>
      <c r="T38" s="303"/>
      <c r="U38" s="303"/>
      <c r="V38" s="305" t="s">
        <v>294</v>
      </c>
      <c r="W38" s="305" t="s">
        <v>303</v>
      </c>
      <c r="X38" s="305"/>
      <c r="Y38" s="305"/>
      <c r="Z38" s="305"/>
      <c r="AA38" s="305" t="s">
        <v>387</v>
      </c>
      <c r="AB38" s="305"/>
      <c r="AC38" s="305"/>
      <c r="AD38" s="305"/>
      <c r="AE38" s="305"/>
    </row>
    <row r="39" spans="1:146" ht="52.5">
      <c r="A39" s="301">
        <f t="shared" si="0"/>
        <v>38</v>
      </c>
      <c r="B39" s="293" t="s">
        <v>459</v>
      </c>
      <c r="C39" s="293" t="s">
        <v>459</v>
      </c>
      <c r="D39" s="302" t="s">
        <v>290</v>
      </c>
      <c r="E39" s="304" t="s">
        <v>370</v>
      </c>
      <c r="F39" s="296">
        <v>0</v>
      </c>
      <c r="G39" s="296">
        <v>0</v>
      </c>
      <c r="H39" s="296">
        <v>0</v>
      </c>
      <c r="I39" s="303">
        <v>0</v>
      </c>
      <c r="J39" s="303">
        <v>0</v>
      </c>
      <c r="K39" s="297" t="s">
        <v>498</v>
      </c>
      <c r="L39" s="296">
        <v>0</v>
      </c>
      <c r="M39" s="296">
        <v>0</v>
      </c>
      <c r="N39" s="296">
        <v>6000</v>
      </c>
      <c r="O39" s="298">
        <v>0</v>
      </c>
      <c r="P39" s="299"/>
      <c r="Q39" s="304"/>
      <c r="R39" s="305"/>
      <c r="S39" s="303"/>
      <c r="T39" s="303"/>
      <c r="U39" s="303"/>
      <c r="V39" s="305" t="s">
        <v>294</v>
      </c>
      <c r="W39" s="305" t="s">
        <v>303</v>
      </c>
      <c r="X39" s="305"/>
      <c r="Y39" s="305"/>
      <c r="Z39" s="305"/>
      <c r="AA39" s="305" t="s">
        <v>387</v>
      </c>
      <c r="AB39" s="305"/>
      <c r="AC39" s="305"/>
      <c r="AD39" s="305"/>
      <c r="AE39" s="305"/>
    </row>
    <row r="40" spans="1:146" ht="52.5">
      <c r="A40" s="301">
        <f t="shared" si="0"/>
        <v>39</v>
      </c>
      <c r="B40" s="293" t="s">
        <v>580</v>
      </c>
      <c r="C40" s="293" t="s">
        <v>581</v>
      </c>
      <c r="D40" s="302" t="s">
        <v>290</v>
      </c>
      <c r="E40" s="304" t="s">
        <v>370</v>
      </c>
      <c r="F40" s="296">
        <v>0</v>
      </c>
      <c r="G40" s="296">
        <v>0</v>
      </c>
      <c r="H40" s="296">
        <v>0</v>
      </c>
      <c r="I40" s="303">
        <v>0</v>
      </c>
      <c r="J40" s="303">
        <v>0</v>
      </c>
      <c r="K40" s="297" t="s">
        <v>498</v>
      </c>
      <c r="L40" s="296">
        <v>0</v>
      </c>
      <c r="M40" s="296">
        <v>0</v>
      </c>
      <c r="N40" s="296">
        <v>3500000</v>
      </c>
      <c r="O40" s="298">
        <v>0</v>
      </c>
      <c r="P40" s="299"/>
      <c r="Q40" s="304"/>
      <c r="R40" s="305"/>
      <c r="S40" s="303"/>
      <c r="T40" s="303"/>
      <c r="U40" s="303"/>
      <c r="V40" s="305" t="s">
        <v>294</v>
      </c>
      <c r="W40" s="305" t="s">
        <v>303</v>
      </c>
      <c r="X40" s="305"/>
      <c r="Y40" s="305"/>
      <c r="Z40" s="305"/>
      <c r="AA40" s="305"/>
      <c r="AB40" s="305"/>
      <c r="AC40" s="305"/>
      <c r="AD40" s="305"/>
      <c r="AE40" s="305"/>
    </row>
    <row r="41" spans="1:146" ht="52.5">
      <c r="A41" s="301">
        <f t="shared" si="0"/>
        <v>40</v>
      </c>
      <c r="B41" s="293" t="s">
        <v>470</v>
      </c>
      <c r="C41" s="293" t="s">
        <v>467</v>
      </c>
      <c r="D41" s="302" t="s">
        <v>290</v>
      </c>
      <c r="E41" s="304" t="s">
        <v>468</v>
      </c>
      <c r="F41" s="296">
        <v>0</v>
      </c>
      <c r="G41" s="296">
        <v>0</v>
      </c>
      <c r="H41" s="296">
        <v>1000000</v>
      </c>
      <c r="I41" s="303">
        <v>0</v>
      </c>
      <c r="J41" s="303">
        <v>0</v>
      </c>
      <c r="K41" s="297" t="s">
        <v>498</v>
      </c>
      <c r="L41" s="296">
        <v>200000</v>
      </c>
      <c r="M41" s="296">
        <v>0</v>
      </c>
      <c r="N41" s="296">
        <v>0</v>
      </c>
      <c r="O41" s="298">
        <v>0</v>
      </c>
      <c r="P41" s="299" t="s">
        <v>629</v>
      </c>
      <c r="Q41" s="304" t="s">
        <v>641</v>
      </c>
      <c r="R41" s="305" t="s">
        <v>330</v>
      </c>
      <c r="S41" s="303">
        <v>200000</v>
      </c>
      <c r="T41" s="303"/>
      <c r="U41" s="303"/>
      <c r="V41" s="305" t="s">
        <v>294</v>
      </c>
      <c r="W41" s="305" t="s">
        <v>303</v>
      </c>
      <c r="X41" s="305"/>
      <c r="Y41" s="305"/>
      <c r="Z41" s="305"/>
      <c r="AA41" s="305" t="s">
        <v>474</v>
      </c>
      <c r="AB41" s="305"/>
      <c r="AC41" s="305"/>
      <c r="AD41" s="305"/>
      <c r="AE41" s="305"/>
    </row>
    <row r="42" spans="1:146" s="153" customFormat="1" ht="52.5">
      <c r="A42" s="301">
        <f t="shared" si="0"/>
        <v>41</v>
      </c>
      <c r="B42" s="293" t="s">
        <v>575</v>
      </c>
      <c r="C42" s="293" t="s">
        <v>576</v>
      </c>
      <c r="D42" s="302" t="s">
        <v>290</v>
      </c>
      <c r="E42" s="312" t="s">
        <v>370</v>
      </c>
      <c r="F42" s="296">
        <v>0</v>
      </c>
      <c r="G42" s="296">
        <v>0</v>
      </c>
      <c r="H42" s="296">
        <v>0</v>
      </c>
      <c r="I42" s="303">
        <v>0</v>
      </c>
      <c r="J42" s="303">
        <v>0</v>
      </c>
      <c r="K42" s="297">
        <v>0</v>
      </c>
      <c r="L42" s="296">
        <v>25000</v>
      </c>
      <c r="M42" s="296">
        <v>0</v>
      </c>
      <c r="N42" s="296">
        <v>0</v>
      </c>
      <c r="O42" s="298">
        <v>0</v>
      </c>
      <c r="P42" s="299"/>
      <c r="Q42" s="304"/>
      <c r="R42" s="305"/>
      <c r="S42" s="303"/>
      <c r="T42" s="303"/>
      <c r="U42" s="303"/>
      <c r="V42" s="305" t="s">
        <v>294</v>
      </c>
      <c r="W42" s="305" t="s">
        <v>303</v>
      </c>
      <c r="X42" s="305"/>
      <c r="Y42" s="305"/>
      <c r="Z42" s="305"/>
      <c r="AA42" s="305"/>
      <c r="AB42" s="305"/>
      <c r="AC42" s="305"/>
      <c r="AD42" s="305"/>
      <c r="AE42" s="305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</row>
    <row r="43" spans="1:146" ht="52.5">
      <c r="A43" s="301">
        <f t="shared" si="0"/>
        <v>42</v>
      </c>
      <c r="B43" s="293" t="s">
        <v>577</v>
      </c>
      <c r="C43" s="293" t="s">
        <v>578</v>
      </c>
      <c r="D43" s="302" t="s">
        <v>290</v>
      </c>
      <c r="E43" s="304" t="s">
        <v>370</v>
      </c>
      <c r="F43" s="296">
        <v>0</v>
      </c>
      <c r="G43" s="296">
        <v>0</v>
      </c>
      <c r="H43" s="296">
        <v>0</v>
      </c>
      <c r="I43" s="296">
        <v>0</v>
      </c>
      <c r="J43" s="296">
        <v>0</v>
      </c>
      <c r="K43" s="306">
        <v>1</v>
      </c>
      <c r="L43" s="296">
        <v>300000</v>
      </c>
      <c r="M43" s="296">
        <v>350000</v>
      </c>
      <c r="N43" s="296">
        <v>350000</v>
      </c>
      <c r="O43" s="298">
        <v>400000</v>
      </c>
      <c r="P43" s="299"/>
      <c r="Q43" s="304"/>
      <c r="R43" s="305"/>
      <c r="S43" s="303"/>
      <c r="T43" s="303"/>
      <c r="U43" s="303"/>
      <c r="V43" s="305" t="s">
        <v>294</v>
      </c>
      <c r="W43" s="305" t="s">
        <v>303</v>
      </c>
      <c r="X43" s="305"/>
      <c r="Y43" s="305"/>
      <c r="Z43" s="305"/>
      <c r="AA43" s="305"/>
      <c r="AB43" s="305"/>
      <c r="AC43" s="305"/>
      <c r="AD43" s="305"/>
      <c r="AE43" s="305"/>
    </row>
    <row r="44" spans="1:146" ht="52.5">
      <c r="A44" s="301">
        <f t="shared" si="0"/>
        <v>43</v>
      </c>
      <c r="B44" s="293" t="s">
        <v>582</v>
      </c>
      <c r="C44" s="293" t="s">
        <v>583</v>
      </c>
      <c r="D44" s="302" t="s">
        <v>290</v>
      </c>
      <c r="E44" s="304" t="s">
        <v>370</v>
      </c>
      <c r="F44" s="296">
        <v>0</v>
      </c>
      <c r="G44" s="296">
        <v>0</v>
      </c>
      <c r="H44" s="296">
        <v>0</v>
      </c>
      <c r="I44" s="303">
        <v>0</v>
      </c>
      <c r="J44" s="303">
        <v>0</v>
      </c>
      <c r="K44" s="297" t="s">
        <v>498</v>
      </c>
      <c r="L44" s="296">
        <v>0</v>
      </c>
      <c r="M44" s="296">
        <v>2000000</v>
      </c>
      <c r="N44" s="296">
        <v>0</v>
      </c>
      <c r="O44" s="298">
        <v>0</v>
      </c>
      <c r="P44" s="299"/>
      <c r="Q44" s="304"/>
      <c r="R44" s="305"/>
      <c r="S44" s="303"/>
      <c r="T44" s="303"/>
      <c r="U44" s="303"/>
      <c r="V44" s="305" t="s">
        <v>294</v>
      </c>
      <c r="W44" s="305" t="s">
        <v>303</v>
      </c>
      <c r="X44" s="305"/>
      <c r="Y44" s="305"/>
      <c r="Z44" s="305"/>
      <c r="AA44" s="305"/>
      <c r="AB44" s="305"/>
      <c r="AC44" s="305"/>
      <c r="AD44" s="305"/>
      <c r="AE44" s="305"/>
    </row>
    <row r="45" spans="1:146" ht="52.5">
      <c r="A45" s="301">
        <f t="shared" si="0"/>
        <v>44</v>
      </c>
      <c r="B45" s="293" t="s">
        <v>584</v>
      </c>
      <c r="C45" s="293" t="s">
        <v>585</v>
      </c>
      <c r="D45" s="302" t="s">
        <v>290</v>
      </c>
      <c r="E45" s="304" t="s">
        <v>370</v>
      </c>
      <c r="F45" s="296">
        <v>0</v>
      </c>
      <c r="G45" s="296">
        <v>0</v>
      </c>
      <c r="H45" s="296">
        <v>0</v>
      </c>
      <c r="I45" s="303">
        <v>0</v>
      </c>
      <c r="J45" s="303">
        <v>0</v>
      </c>
      <c r="K45" s="297" t="s">
        <v>498</v>
      </c>
      <c r="L45" s="296">
        <v>0</v>
      </c>
      <c r="M45" s="296">
        <v>100000</v>
      </c>
      <c r="N45" s="296">
        <v>0</v>
      </c>
      <c r="O45" s="298">
        <v>0</v>
      </c>
      <c r="P45" s="299"/>
      <c r="Q45" s="304"/>
      <c r="R45" s="305"/>
      <c r="S45" s="303"/>
      <c r="T45" s="303"/>
      <c r="U45" s="303"/>
      <c r="V45" s="305" t="s">
        <v>294</v>
      </c>
      <c r="W45" s="305" t="s">
        <v>303</v>
      </c>
      <c r="X45" s="305"/>
      <c r="Y45" s="305"/>
      <c r="Z45" s="305"/>
      <c r="AA45" s="305"/>
      <c r="AB45" s="305"/>
      <c r="AC45" s="305"/>
      <c r="AD45" s="305"/>
      <c r="AE45" s="305"/>
    </row>
    <row r="46" spans="1:146" ht="52.5">
      <c r="A46" s="301">
        <f t="shared" si="0"/>
        <v>45</v>
      </c>
      <c r="B46" s="293" t="s">
        <v>586</v>
      </c>
      <c r="C46" s="293" t="s">
        <v>587</v>
      </c>
      <c r="D46" s="302" t="s">
        <v>290</v>
      </c>
      <c r="E46" s="304" t="s">
        <v>370</v>
      </c>
      <c r="F46" s="296">
        <v>0</v>
      </c>
      <c r="G46" s="296">
        <v>0</v>
      </c>
      <c r="H46" s="296">
        <v>0</v>
      </c>
      <c r="I46" s="303">
        <v>0</v>
      </c>
      <c r="J46" s="303">
        <v>0</v>
      </c>
      <c r="K46" s="297" t="s">
        <v>498</v>
      </c>
      <c r="L46" s="296">
        <v>0</v>
      </c>
      <c r="M46" s="296">
        <v>600000</v>
      </c>
      <c r="N46" s="296">
        <v>0</v>
      </c>
      <c r="O46" s="298">
        <v>0</v>
      </c>
      <c r="P46" s="299"/>
      <c r="Q46" s="304"/>
      <c r="R46" s="305"/>
      <c r="S46" s="303"/>
      <c r="T46" s="303"/>
      <c r="U46" s="303"/>
      <c r="V46" s="305" t="s">
        <v>294</v>
      </c>
      <c r="W46" s="305" t="s">
        <v>303</v>
      </c>
      <c r="X46" s="305"/>
      <c r="Y46" s="305"/>
      <c r="Z46" s="305"/>
      <c r="AA46" s="305"/>
      <c r="AB46" s="305"/>
      <c r="AC46" s="305"/>
      <c r="AD46" s="305"/>
      <c r="AE46" s="305"/>
    </row>
    <row r="47" spans="1:146" ht="52.5">
      <c r="A47" s="301">
        <f t="shared" si="0"/>
        <v>46</v>
      </c>
      <c r="B47" s="293" t="s">
        <v>588</v>
      </c>
      <c r="C47" s="293" t="s">
        <v>589</v>
      </c>
      <c r="D47" s="302" t="s">
        <v>290</v>
      </c>
      <c r="E47" s="304" t="s">
        <v>370</v>
      </c>
      <c r="F47" s="296">
        <v>0</v>
      </c>
      <c r="G47" s="296">
        <v>0</v>
      </c>
      <c r="H47" s="296">
        <v>0</v>
      </c>
      <c r="I47" s="303">
        <v>0</v>
      </c>
      <c r="J47" s="303">
        <v>0</v>
      </c>
      <c r="K47" s="297"/>
      <c r="L47" s="296">
        <v>0</v>
      </c>
      <c r="M47" s="296">
        <v>245000</v>
      </c>
      <c r="N47" s="296">
        <v>0</v>
      </c>
      <c r="O47" s="298">
        <v>0</v>
      </c>
      <c r="P47" s="299"/>
      <c r="Q47" s="304"/>
      <c r="R47" s="305"/>
      <c r="S47" s="303"/>
      <c r="T47" s="303"/>
      <c r="U47" s="303"/>
      <c r="V47" s="305" t="s">
        <v>294</v>
      </c>
      <c r="W47" s="305" t="s">
        <v>303</v>
      </c>
      <c r="X47" s="305"/>
      <c r="Y47" s="305"/>
      <c r="Z47" s="305"/>
      <c r="AA47" s="305"/>
      <c r="AB47" s="305"/>
      <c r="AC47" s="305"/>
      <c r="AD47" s="305"/>
      <c r="AE47" s="305"/>
    </row>
    <row r="48" spans="1:146" ht="52.5">
      <c r="A48" s="301">
        <f t="shared" si="0"/>
        <v>47</v>
      </c>
      <c r="B48" s="293" t="s">
        <v>590</v>
      </c>
      <c r="C48" s="293" t="s">
        <v>591</v>
      </c>
      <c r="D48" s="302" t="s">
        <v>290</v>
      </c>
      <c r="E48" s="304" t="s">
        <v>370</v>
      </c>
      <c r="F48" s="296">
        <v>0</v>
      </c>
      <c r="G48" s="296">
        <v>0</v>
      </c>
      <c r="H48" s="296">
        <v>0</v>
      </c>
      <c r="I48" s="303">
        <v>0</v>
      </c>
      <c r="J48" s="303">
        <v>0</v>
      </c>
      <c r="K48" s="297"/>
      <c r="L48" s="296">
        <v>0</v>
      </c>
      <c r="M48" s="296">
        <v>28000</v>
      </c>
      <c r="N48" s="296">
        <v>28000</v>
      </c>
      <c r="O48" s="298">
        <v>28000</v>
      </c>
      <c r="P48" s="299"/>
      <c r="Q48" s="304"/>
      <c r="R48" s="305"/>
      <c r="S48" s="303"/>
      <c r="T48" s="303"/>
      <c r="U48" s="303"/>
      <c r="V48" s="305" t="s">
        <v>294</v>
      </c>
      <c r="W48" s="305" t="s">
        <v>303</v>
      </c>
      <c r="X48" s="305"/>
      <c r="Y48" s="305"/>
      <c r="Z48" s="305"/>
      <c r="AA48" s="305"/>
      <c r="AB48" s="305"/>
      <c r="AC48" s="305"/>
      <c r="AD48" s="305"/>
      <c r="AE48" s="305"/>
    </row>
    <row r="49" spans="1:31" ht="52.5">
      <c r="A49" s="301">
        <f t="shared" si="0"/>
        <v>48</v>
      </c>
      <c r="B49" s="293" t="s">
        <v>599</v>
      </c>
      <c r="C49" s="293" t="s">
        <v>600</v>
      </c>
      <c r="D49" s="302" t="s">
        <v>290</v>
      </c>
      <c r="E49" s="304" t="s">
        <v>370</v>
      </c>
      <c r="F49" s="296">
        <v>0</v>
      </c>
      <c r="G49" s="296">
        <v>0</v>
      </c>
      <c r="H49" s="296">
        <v>0</v>
      </c>
      <c r="I49" s="303">
        <v>0</v>
      </c>
      <c r="J49" s="303">
        <v>0</v>
      </c>
      <c r="K49" s="297"/>
      <c r="L49" s="296">
        <v>0</v>
      </c>
      <c r="M49" s="296">
        <v>0</v>
      </c>
      <c r="N49" s="296">
        <v>90000</v>
      </c>
      <c r="O49" s="298">
        <v>0</v>
      </c>
      <c r="P49" s="299"/>
      <c r="Q49" s="304"/>
      <c r="R49" s="305"/>
      <c r="S49" s="303"/>
      <c r="T49" s="303"/>
      <c r="U49" s="303"/>
      <c r="V49" s="305" t="s">
        <v>294</v>
      </c>
      <c r="W49" s="305" t="s">
        <v>303</v>
      </c>
      <c r="X49" s="305"/>
      <c r="Y49" s="305"/>
      <c r="Z49" s="305"/>
      <c r="AA49" s="305"/>
      <c r="AB49" s="305"/>
      <c r="AC49" s="305"/>
      <c r="AD49" s="305"/>
      <c r="AE49" s="305"/>
    </row>
    <row r="50" spans="1:31" ht="52.5">
      <c r="A50" s="301">
        <f t="shared" si="0"/>
        <v>49</v>
      </c>
      <c r="B50" s="293" t="s">
        <v>601</v>
      </c>
      <c r="C50" s="293" t="s">
        <v>601</v>
      </c>
      <c r="D50" s="302" t="s">
        <v>290</v>
      </c>
      <c r="E50" s="304" t="s">
        <v>370</v>
      </c>
      <c r="F50" s="296">
        <v>0</v>
      </c>
      <c r="G50" s="296">
        <v>0</v>
      </c>
      <c r="H50" s="296">
        <v>0</v>
      </c>
      <c r="I50" s="303">
        <v>0</v>
      </c>
      <c r="J50" s="303">
        <v>0</v>
      </c>
      <c r="K50" s="297"/>
      <c r="L50" s="296">
        <v>0</v>
      </c>
      <c r="M50" s="296">
        <v>0</v>
      </c>
      <c r="N50" s="296">
        <v>6000</v>
      </c>
      <c r="O50" s="298">
        <v>0</v>
      </c>
      <c r="P50" s="299"/>
      <c r="Q50" s="304"/>
      <c r="R50" s="305"/>
      <c r="S50" s="303"/>
      <c r="T50" s="303"/>
      <c r="U50" s="303"/>
      <c r="V50" s="305" t="s">
        <v>294</v>
      </c>
      <c r="W50" s="305" t="s">
        <v>303</v>
      </c>
      <c r="X50" s="305"/>
      <c r="Y50" s="305"/>
      <c r="Z50" s="305"/>
      <c r="AA50" s="305"/>
      <c r="AB50" s="305"/>
      <c r="AC50" s="305"/>
      <c r="AD50" s="305"/>
      <c r="AE50" s="305"/>
    </row>
    <row r="51" spans="1:31" ht="52.5">
      <c r="A51" s="301">
        <f t="shared" si="0"/>
        <v>50</v>
      </c>
      <c r="B51" s="293" t="s">
        <v>602</v>
      </c>
      <c r="C51" s="293" t="s">
        <v>603</v>
      </c>
      <c r="D51" s="302" t="s">
        <v>290</v>
      </c>
      <c r="E51" s="304" t="s">
        <v>370</v>
      </c>
      <c r="F51" s="296">
        <v>0</v>
      </c>
      <c r="G51" s="296">
        <v>0</v>
      </c>
      <c r="H51" s="296">
        <v>0</v>
      </c>
      <c r="I51" s="303">
        <v>0</v>
      </c>
      <c r="J51" s="303">
        <v>0</v>
      </c>
      <c r="K51" s="297"/>
      <c r="L51" s="296">
        <v>0</v>
      </c>
      <c r="M51" s="296">
        <v>0</v>
      </c>
      <c r="N51" s="296">
        <v>0</v>
      </c>
      <c r="O51" s="298">
        <v>55000</v>
      </c>
      <c r="P51" s="299"/>
      <c r="Q51" s="304"/>
      <c r="R51" s="305"/>
      <c r="S51" s="303"/>
      <c r="T51" s="303"/>
      <c r="U51" s="303"/>
      <c r="V51" s="305" t="s">
        <v>294</v>
      </c>
      <c r="W51" s="305" t="s">
        <v>303</v>
      </c>
      <c r="X51" s="305"/>
      <c r="Y51" s="305"/>
      <c r="Z51" s="305"/>
      <c r="AA51" s="305"/>
      <c r="AB51" s="305"/>
      <c r="AC51" s="305"/>
      <c r="AD51" s="305"/>
      <c r="AE51" s="305"/>
    </row>
    <row r="52" spans="1:31" ht="52.5">
      <c r="A52" s="301">
        <f t="shared" si="0"/>
        <v>51</v>
      </c>
      <c r="B52" s="293" t="s">
        <v>604</v>
      </c>
      <c r="C52" s="293" t="s">
        <v>604</v>
      </c>
      <c r="D52" s="302" t="s">
        <v>290</v>
      </c>
      <c r="E52" s="304" t="s">
        <v>370</v>
      </c>
      <c r="F52" s="296">
        <v>0</v>
      </c>
      <c r="G52" s="296">
        <v>0</v>
      </c>
      <c r="H52" s="296">
        <v>0</v>
      </c>
      <c r="I52" s="303">
        <v>0</v>
      </c>
      <c r="J52" s="303">
        <v>0</v>
      </c>
      <c r="K52" s="297"/>
      <c r="L52" s="296">
        <v>0</v>
      </c>
      <c r="M52" s="296">
        <v>0</v>
      </c>
      <c r="N52" s="296">
        <v>0</v>
      </c>
      <c r="O52" s="298">
        <v>6000</v>
      </c>
      <c r="P52" s="299"/>
      <c r="Q52" s="304"/>
      <c r="R52" s="305"/>
      <c r="S52" s="303"/>
      <c r="T52" s="303"/>
      <c r="U52" s="303"/>
      <c r="V52" s="305" t="s">
        <v>294</v>
      </c>
      <c r="W52" s="305" t="s">
        <v>303</v>
      </c>
      <c r="X52" s="305"/>
      <c r="Y52" s="305"/>
      <c r="Z52" s="305"/>
      <c r="AA52" s="305"/>
      <c r="AB52" s="305"/>
      <c r="AC52" s="305"/>
      <c r="AD52" s="305"/>
      <c r="AE52" s="305"/>
    </row>
    <row r="53" spans="1:31" ht="52.5">
      <c r="A53" s="301">
        <f t="shared" si="0"/>
        <v>52</v>
      </c>
      <c r="B53" s="293" t="s">
        <v>296</v>
      </c>
      <c r="C53" s="293" t="s">
        <v>308</v>
      </c>
      <c r="D53" s="302" t="s">
        <v>295</v>
      </c>
      <c r="E53" s="304" t="s">
        <v>338</v>
      </c>
      <c r="F53" s="296">
        <v>14000</v>
      </c>
      <c r="G53" s="296">
        <v>19762.099999999999</v>
      </c>
      <c r="H53" s="296">
        <v>0</v>
      </c>
      <c r="I53" s="303">
        <v>0</v>
      </c>
      <c r="J53" s="303">
        <v>0</v>
      </c>
      <c r="K53" s="297"/>
      <c r="L53" s="296">
        <v>0</v>
      </c>
      <c r="M53" s="296">
        <v>0</v>
      </c>
      <c r="N53" s="296">
        <v>0</v>
      </c>
      <c r="O53" s="298">
        <v>0</v>
      </c>
      <c r="P53" s="299" t="s">
        <v>348</v>
      </c>
      <c r="Q53" s="304" t="s">
        <v>354</v>
      </c>
      <c r="R53" s="305" t="s">
        <v>330</v>
      </c>
      <c r="S53" s="303">
        <v>5762.1100000000006</v>
      </c>
      <c r="T53" s="303">
        <v>5762.1100000000006</v>
      </c>
      <c r="U53" s="303">
        <v>5762.1100000000006</v>
      </c>
      <c r="V53" s="305" t="s">
        <v>294</v>
      </c>
      <c r="W53" s="305" t="s">
        <v>297</v>
      </c>
      <c r="X53" s="305"/>
      <c r="Y53" s="305"/>
      <c r="Z53" s="305" t="s">
        <v>23</v>
      </c>
      <c r="AA53" s="305" t="s">
        <v>328</v>
      </c>
      <c r="AB53" s="305"/>
      <c r="AC53" s="305"/>
      <c r="AD53" s="305"/>
      <c r="AE53" s="305"/>
    </row>
    <row r="54" spans="1:31" ht="52.5">
      <c r="A54" s="301">
        <f t="shared" si="0"/>
        <v>53</v>
      </c>
      <c r="B54" s="293" t="s">
        <v>288</v>
      </c>
      <c r="C54" s="293" t="s">
        <v>289</v>
      </c>
      <c r="D54" s="302" t="s">
        <v>295</v>
      </c>
      <c r="E54" s="304" t="s">
        <v>339</v>
      </c>
      <c r="F54" s="296">
        <v>120000</v>
      </c>
      <c r="G54" s="296">
        <v>84017.46</v>
      </c>
      <c r="H54" s="296">
        <v>0</v>
      </c>
      <c r="I54" s="303">
        <v>0</v>
      </c>
      <c r="J54" s="303">
        <v>0</v>
      </c>
      <c r="K54" s="297"/>
      <c r="L54" s="296">
        <v>0</v>
      </c>
      <c r="M54" s="296">
        <v>0</v>
      </c>
      <c r="N54" s="296">
        <v>0</v>
      </c>
      <c r="O54" s="298">
        <v>0</v>
      </c>
      <c r="P54" s="299"/>
      <c r="Q54" s="304"/>
      <c r="R54" s="305"/>
      <c r="S54" s="303"/>
      <c r="T54" s="303"/>
      <c r="U54" s="303"/>
      <c r="V54" s="305" t="s">
        <v>294</v>
      </c>
      <c r="W54" s="305" t="s">
        <v>297</v>
      </c>
      <c r="X54" s="305"/>
      <c r="Y54" s="305" t="s">
        <v>299</v>
      </c>
      <c r="Z54" s="305" t="s">
        <v>23</v>
      </c>
      <c r="AA54" s="305" t="s">
        <v>298</v>
      </c>
      <c r="AB54" s="305"/>
      <c r="AC54" s="305"/>
      <c r="AD54" s="305"/>
      <c r="AE54" s="305"/>
    </row>
    <row r="55" spans="1:31" ht="52.5">
      <c r="A55" s="301">
        <f t="shared" si="0"/>
        <v>54</v>
      </c>
      <c r="B55" s="293" t="s">
        <v>291</v>
      </c>
      <c r="C55" s="293" t="s">
        <v>291</v>
      </c>
      <c r="D55" s="302" t="s">
        <v>295</v>
      </c>
      <c r="E55" s="304" t="s">
        <v>339</v>
      </c>
      <c r="F55" s="296">
        <v>20000</v>
      </c>
      <c r="G55" s="296">
        <v>23455</v>
      </c>
      <c r="H55" s="296">
        <v>0</v>
      </c>
      <c r="I55" s="303">
        <v>0</v>
      </c>
      <c r="J55" s="303">
        <v>0</v>
      </c>
      <c r="K55" s="297"/>
      <c r="L55" s="296">
        <v>0</v>
      </c>
      <c r="M55" s="296">
        <v>0</v>
      </c>
      <c r="N55" s="296">
        <v>0</v>
      </c>
      <c r="O55" s="298">
        <v>0</v>
      </c>
      <c r="P55" s="299"/>
      <c r="Q55" s="304"/>
      <c r="R55" s="305"/>
      <c r="S55" s="303"/>
      <c r="T55" s="303"/>
      <c r="U55" s="303"/>
      <c r="V55" s="305" t="s">
        <v>294</v>
      </c>
      <c r="W55" s="305" t="s">
        <v>297</v>
      </c>
      <c r="X55" s="305"/>
      <c r="Y55" s="305"/>
      <c r="Z55" s="305" t="s">
        <v>23</v>
      </c>
      <c r="AA55" s="305" t="s">
        <v>298</v>
      </c>
      <c r="AB55" s="305"/>
      <c r="AC55" s="305"/>
      <c r="AD55" s="305"/>
      <c r="AE55" s="305"/>
    </row>
    <row r="56" spans="1:31" ht="52.5">
      <c r="A56" s="301">
        <f t="shared" si="0"/>
        <v>55</v>
      </c>
      <c r="B56" s="293" t="s">
        <v>460</v>
      </c>
      <c r="C56" s="293" t="s">
        <v>482</v>
      </c>
      <c r="D56" s="302" t="s">
        <v>295</v>
      </c>
      <c r="E56" s="304" t="s">
        <v>339</v>
      </c>
      <c r="F56" s="296">
        <v>0</v>
      </c>
      <c r="G56" s="296">
        <v>0</v>
      </c>
      <c r="H56" s="296">
        <v>9365</v>
      </c>
      <c r="I56" s="303">
        <v>7860</v>
      </c>
      <c r="J56" s="303">
        <v>7860</v>
      </c>
      <c r="K56" s="297"/>
      <c r="L56" s="296">
        <v>0</v>
      </c>
      <c r="M56" s="296">
        <v>0</v>
      </c>
      <c r="N56" s="296">
        <v>0</v>
      </c>
      <c r="O56" s="298">
        <v>0</v>
      </c>
      <c r="P56" s="299"/>
      <c r="Q56" s="304"/>
      <c r="R56" s="305"/>
      <c r="S56" s="303"/>
      <c r="T56" s="303"/>
      <c r="U56" s="303"/>
      <c r="V56" s="305" t="s">
        <v>294</v>
      </c>
      <c r="W56" s="305" t="s">
        <v>483</v>
      </c>
      <c r="X56" s="305"/>
      <c r="Y56" s="305"/>
      <c r="Z56" s="305"/>
      <c r="AA56" s="305" t="s">
        <v>387</v>
      </c>
      <c r="AB56" s="305"/>
      <c r="AC56" s="305"/>
      <c r="AD56" s="305"/>
      <c r="AE56" s="305"/>
    </row>
    <row r="57" spans="1:31" ht="52.5">
      <c r="A57" s="301">
        <f t="shared" si="0"/>
        <v>56</v>
      </c>
      <c r="B57" s="293" t="s">
        <v>460</v>
      </c>
      <c r="C57" s="293" t="s">
        <v>544</v>
      </c>
      <c r="D57" s="302" t="s">
        <v>295</v>
      </c>
      <c r="E57" s="304" t="s">
        <v>338</v>
      </c>
      <c r="F57" s="296">
        <v>0</v>
      </c>
      <c r="G57" s="296">
        <v>0</v>
      </c>
      <c r="H57" s="296">
        <v>0</v>
      </c>
      <c r="I57" s="303">
        <v>0</v>
      </c>
      <c r="J57" s="303">
        <v>0</v>
      </c>
      <c r="K57" s="297"/>
      <c r="L57" s="296">
        <v>53000</v>
      </c>
      <c r="M57" s="296">
        <v>0</v>
      </c>
      <c r="N57" s="296">
        <v>0</v>
      </c>
      <c r="O57" s="298">
        <v>0</v>
      </c>
      <c r="P57" s="299"/>
      <c r="Q57" s="304"/>
      <c r="R57" s="305"/>
      <c r="S57" s="303"/>
      <c r="T57" s="303"/>
      <c r="U57" s="303"/>
      <c r="V57" s="305" t="s">
        <v>294</v>
      </c>
      <c r="W57" s="305" t="s">
        <v>483</v>
      </c>
      <c r="X57" s="305"/>
      <c r="Y57" s="305"/>
      <c r="Z57" s="305"/>
      <c r="AA57" s="305" t="s">
        <v>387</v>
      </c>
      <c r="AB57" s="305"/>
      <c r="AC57" s="305"/>
      <c r="AD57" s="305"/>
      <c r="AE57" s="305"/>
    </row>
    <row r="58" spans="1:31" ht="52.5">
      <c r="A58" s="301">
        <f t="shared" si="0"/>
        <v>57</v>
      </c>
      <c r="B58" s="293" t="s">
        <v>573</v>
      </c>
      <c r="C58" s="293" t="s">
        <v>574</v>
      </c>
      <c r="D58" s="302" t="s">
        <v>295</v>
      </c>
      <c r="E58" s="304" t="s">
        <v>338</v>
      </c>
      <c r="F58" s="296">
        <v>0</v>
      </c>
      <c r="G58" s="296">
        <v>0</v>
      </c>
      <c r="H58" s="296">
        <v>0</v>
      </c>
      <c r="I58" s="303">
        <v>0</v>
      </c>
      <c r="J58" s="303">
        <v>0</v>
      </c>
      <c r="K58" s="297"/>
      <c r="L58" s="296">
        <v>0</v>
      </c>
      <c r="M58" s="296">
        <v>150000</v>
      </c>
      <c r="N58" s="296">
        <v>350000</v>
      </c>
      <c r="O58" s="298">
        <v>0</v>
      </c>
      <c r="P58" s="299"/>
      <c r="Q58" s="304"/>
      <c r="R58" s="305"/>
      <c r="S58" s="303"/>
      <c r="T58" s="303"/>
      <c r="U58" s="303"/>
      <c r="V58" s="305" t="s">
        <v>294</v>
      </c>
      <c r="W58" s="305" t="s">
        <v>483</v>
      </c>
      <c r="X58" s="305"/>
      <c r="Y58" s="305"/>
      <c r="Z58" s="305"/>
      <c r="AA58" s="305" t="s">
        <v>387</v>
      </c>
      <c r="AB58" s="305"/>
      <c r="AC58" s="305"/>
      <c r="AD58" s="305"/>
      <c r="AE58" s="305"/>
    </row>
    <row r="59" spans="1:31" ht="52.5">
      <c r="A59" s="301">
        <f t="shared" si="0"/>
        <v>58</v>
      </c>
      <c r="B59" s="293" t="s">
        <v>569</v>
      </c>
      <c r="C59" s="293" t="s">
        <v>570</v>
      </c>
      <c r="D59" s="302" t="s">
        <v>295</v>
      </c>
      <c r="E59" s="304" t="s">
        <v>338</v>
      </c>
      <c r="F59" s="296">
        <v>0</v>
      </c>
      <c r="G59" s="296">
        <v>0</v>
      </c>
      <c r="H59" s="296">
        <v>0</v>
      </c>
      <c r="I59" s="303">
        <v>0</v>
      </c>
      <c r="J59" s="303">
        <v>0</v>
      </c>
      <c r="K59" s="297"/>
      <c r="L59" s="296">
        <v>8000</v>
      </c>
      <c r="M59" s="296">
        <v>0</v>
      </c>
      <c r="N59" s="296">
        <v>0</v>
      </c>
      <c r="O59" s="298">
        <v>0</v>
      </c>
      <c r="P59" s="299"/>
      <c r="Q59" s="304"/>
      <c r="R59" s="305"/>
      <c r="S59" s="303"/>
      <c r="T59" s="303"/>
      <c r="U59" s="303"/>
      <c r="V59" s="305" t="s">
        <v>294</v>
      </c>
      <c r="W59" s="305" t="s">
        <v>303</v>
      </c>
      <c r="X59" s="305"/>
      <c r="Y59" s="305"/>
      <c r="Z59" s="305"/>
      <c r="AA59" s="305"/>
      <c r="AB59" s="305"/>
      <c r="AC59" s="305"/>
      <c r="AD59" s="305"/>
      <c r="AE59" s="305"/>
    </row>
    <row r="60" spans="1:31" ht="52.5">
      <c r="A60" s="301">
        <f t="shared" si="0"/>
        <v>59</v>
      </c>
      <c r="B60" s="293" t="s">
        <v>571</v>
      </c>
      <c r="C60" s="293" t="s">
        <v>572</v>
      </c>
      <c r="D60" s="302" t="s">
        <v>295</v>
      </c>
      <c r="E60" s="304" t="s">
        <v>338</v>
      </c>
      <c r="F60" s="296">
        <v>0</v>
      </c>
      <c r="G60" s="296">
        <v>0</v>
      </c>
      <c r="H60" s="296">
        <v>0</v>
      </c>
      <c r="I60" s="303">
        <v>0</v>
      </c>
      <c r="J60" s="303">
        <v>0</v>
      </c>
      <c r="K60" s="297"/>
      <c r="L60" s="296">
        <v>25000</v>
      </c>
      <c r="M60" s="296">
        <v>0</v>
      </c>
      <c r="N60" s="296">
        <v>0</v>
      </c>
      <c r="O60" s="298">
        <v>0</v>
      </c>
      <c r="P60" s="299"/>
      <c r="Q60" s="304"/>
      <c r="R60" s="305"/>
      <c r="S60" s="303"/>
      <c r="T60" s="303"/>
      <c r="U60" s="303"/>
      <c r="V60" s="305" t="s">
        <v>294</v>
      </c>
      <c r="W60" s="305" t="s">
        <v>303</v>
      </c>
      <c r="X60" s="305"/>
      <c r="Y60" s="305"/>
      <c r="Z60" s="305"/>
      <c r="AA60" s="305"/>
      <c r="AB60" s="305"/>
      <c r="AC60" s="305"/>
      <c r="AD60" s="305"/>
      <c r="AE60" s="305"/>
    </row>
    <row r="61" spans="1:31" ht="52.5">
      <c r="A61" s="301">
        <f t="shared" si="0"/>
        <v>60</v>
      </c>
      <c r="B61" s="293" t="s">
        <v>592</v>
      </c>
      <c r="C61" s="293" t="s">
        <v>593</v>
      </c>
      <c r="D61" s="302" t="s">
        <v>295</v>
      </c>
      <c r="E61" s="304" t="s">
        <v>338</v>
      </c>
      <c r="F61" s="296">
        <v>0</v>
      </c>
      <c r="G61" s="296">
        <v>0</v>
      </c>
      <c r="H61" s="296">
        <v>0</v>
      </c>
      <c r="I61" s="303">
        <v>0</v>
      </c>
      <c r="J61" s="303">
        <v>0</v>
      </c>
      <c r="K61" s="297" t="s">
        <v>498</v>
      </c>
      <c r="L61" s="296">
        <v>0</v>
      </c>
      <c r="M61" s="296">
        <v>16500</v>
      </c>
      <c r="N61" s="296">
        <v>0</v>
      </c>
      <c r="O61" s="298">
        <v>0</v>
      </c>
      <c r="P61" s="299"/>
      <c r="Q61" s="304"/>
      <c r="R61" s="305"/>
      <c r="S61" s="303"/>
      <c r="T61" s="303"/>
      <c r="U61" s="303"/>
      <c r="V61" s="305" t="s">
        <v>294</v>
      </c>
      <c r="W61" s="305" t="s">
        <v>303</v>
      </c>
      <c r="X61" s="305"/>
      <c r="Y61" s="305"/>
      <c r="Z61" s="305"/>
      <c r="AA61" s="305"/>
      <c r="AB61" s="305"/>
      <c r="AC61" s="305"/>
      <c r="AD61" s="305"/>
      <c r="AE61" s="305"/>
    </row>
    <row r="62" spans="1:31" ht="52.5">
      <c r="A62" s="301">
        <f t="shared" si="0"/>
        <v>61</v>
      </c>
      <c r="B62" s="293" t="s">
        <v>594</v>
      </c>
      <c r="C62" s="293" t="s">
        <v>595</v>
      </c>
      <c r="D62" s="302" t="s">
        <v>295</v>
      </c>
      <c r="E62" s="304" t="s">
        <v>338</v>
      </c>
      <c r="F62" s="296">
        <v>0</v>
      </c>
      <c r="G62" s="296">
        <v>0</v>
      </c>
      <c r="H62" s="296">
        <v>0</v>
      </c>
      <c r="I62" s="303">
        <v>0</v>
      </c>
      <c r="J62" s="303">
        <v>0</v>
      </c>
      <c r="K62" s="297"/>
      <c r="L62" s="296">
        <v>0</v>
      </c>
      <c r="M62" s="296">
        <v>1500000</v>
      </c>
      <c r="N62" s="296">
        <v>0</v>
      </c>
      <c r="O62" s="298">
        <v>0</v>
      </c>
      <c r="P62" s="299"/>
      <c r="Q62" s="304"/>
      <c r="R62" s="305"/>
      <c r="S62" s="303"/>
      <c r="T62" s="303"/>
      <c r="U62" s="303"/>
      <c r="V62" s="305" t="s">
        <v>294</v>
      </c>
      <c r="W62" s="305" t="s">
        <v>303</v>
      </c>
      <c r="X62" s="305"/>
      <c r="Y62" s="305"/>
      <c r="Z62" s="305"/>
      <c r="AA62" s="305"/>
      <c r="AB62" s="305"/>
      <c r="AC62" s="305"/>
      <c r="AD62" s="305"/>
      <c r="AE62" s="305"/>
    </row>
    <row r="63" spans="1:31" ht="48.75" customHeight="1">
      <c r="A63" s="301">
        <f t="shared" si="0"/>
        <v>62</v>
      </c>
      <c r="B63" s="293" t="s">
        <v>596</v>
      </c>
      <c r="C63" s="293" t="s">
        <v>597</v>
      </c>
      <c r="D63" s="302" t="s">
        <v>598</v>
      </c>
      <c r="E63" s="304" t="s">
        <v>639</v>
      </c>
      <c r="F63" s="296">
        <v>0</v>
      </c>
      <c r="G63" s="296">
        <v>0</v>
      </c>
      <c r="H63" s="296">
        <v>0</v>
      </c>
      <c r="I63" s="303">
        <v>0</v>
      </c>
      <c r="J63" s="303">
        <v>0</v>
      </c>
      <c r="K63" s="297"/>
      <c r="L63" s="296">
        <v>0</v>
      </c>
      <c r="M63" s="296"/>
      <c r="N63" s="296">
        <v>1250000</v>
      </c>
      <c r="O63" s="298">
        <v>0</v>
      </c>
      <c r="P63" s="299"/>
      <c r="Q63" s="304"/>
      <c r="R63" s="305"/>
      <c r="S63" s="303"/>
      <c r="T63" s="303"/>
      <c r="U63" s="303"/>
      <c r="V63" s="305" t="s">
        <v>294</v>
      </c>
      <c r="W63" s="305" t="s">
        <v>303</v>
      </c>
      <c r="X63" s="305"/>
      <c r="Y63" s="305"/>
      <c r="Z63" s="305"/>
      <c r="AA63" s="305"/>
      <c r="AB63" s="305"/>
      <c r="AC63" s="305"/>
      <c r="AD63" s="305"/>
      <c r="AE63" s="305"/>
    </row>
    <row r="64" spans="1:31" ht="52.5">
      <c r="A64" s="301">
        <f t="shared" si="0"/>
        <v>63</v>
      </c>
      <c r="B64" s="293" t="s">
        <v>327</v>
      </c>
      <c r="C64" s="293" t="s">
        <v>327</v>
      </c>
      <c r="D64" s="302" t="s">
        <v>362</v>
      </c>
      <c r="E64" s="304" t="s">
        <v>360</v>
      </c>
      <c r="F64" s="303">
        <v>522080</v>
      </c>
      <c r="G64" s="303">
        <v>22974</v>
      </c>
      <c r="H64" s="296">
        <v>500545</v>
      </c>
      <c r="I64" s="303">
        <v>0</v>
      </c>
      <c r="J64" s="303">
        <v>0</v>
      </c>
      <c r="K64" s="297">
        <v>0</v>
      </c>
      <c r="L64" s="296">
        <v>0</v>
      </c>
      <c r="M64" s="296">
        <v>0</v>
      </c>
      <c r="N64" s="296">
        <v>0</v>
      </c>
      <c r="O64" s="298">
        <v>0</v>
      </c>
      <c r="P64" s="299"/>
      <c r="Q64" s="304"/>
      <c r="R64" s="305"/>
      <c r="S64" s="303"/>
      <c r="T64" s="303"/>
      <c r="U64" s="303"/>
      <c r="V64" s="302" t="s">
        <v>362</v>
      </c>
      <c r="W64" s="305" t="s">
        <v>303</v>
      </c>
      <c r="X64" s="305"/>
      <c r="Y64" s="305"/>
      <c r="Z64" s="305"/>
      <c r="AA64" s="305" t="s">
        <v>329</v>
      </c>
      <c r="AB64" s="305"/>
      <c r="AC64" s="305"/>
      <c r="AD64" s="305"/>
      <c r="AE64" s="305"/>
    </row>
    <row r="65" spans="1:31" ht="52.5">
      <c r="A65" s="301">
        <f t="shared" si="0"/>
        <v>64</v>
      </c>
      <c r="B65" s="293" t="s">
        <v>331</v>
      </c>
      <c r="C65" s="293" t="s">
        <v>331</v>
      </c>
      <c r="D65" s="302" t="s">
        <v>362</v>
      </c>
      <c r="E65" s="304" t="s">
        <v>360</v>
      </c>
      <c r="F65" s="303">
        <v>177920</v>
      </c>
      <c r="G65" s="303">
        <v>177945</v>
      </c>
      <c r="H65" s="296">
        <v>0</v>
      </c>
      <c r="I65" s="303">
        <v>0</v>
      </c>
      <c r="J65" s="303">
        <v>76536</v>
      </c>
      <c r="K65" s="297" t="s">
        <v>498</v>
      </c>
      <c r="L65" s="296">
        <v>0</v>
      </c>
      <c r="M65" s="296">
        <v>0</v>
      </c>
      <c r="N65" s="296">
        <v>0</v>
      </c>
      <c r="O65" s="298">
        <v>0</v>
      </c>
      <c r="P65" s="299"/>
      <c r="Q65" s="304"/>
      <c r="R65" s="305"/>
      <c r="S65" s="303"/>
      <c r="T65" s="303"/>
      <c r="U65" s="303"/>
      <c r="V65" s="302" t="s">
        <v>362</v>
      </c>
      <c r="W65" s="305" t="s">
        <v>303</v>
      </c>
      <c r="X65" s="305"/>
      <c r="Y65" s="305"/>
      <c r="Z65" s="305"/>
      <c r="AA65" s="305" t="s">
        <v>329</v>
      </c>
      <c r="AB65" s="305"/>
      <c r="AC65" s="305"/>
      <c r="AD65" s="305"/>
      <c r="AE65" s="305"/>
    </row>
    <row r="66" spans="1:31" ht="52.5">
      <c r="A66" s="301">
        <f t="shared" si="0"/>
        <v>65</v>
      </c>
      <c r="B66" s="293" t="s">
        <v>614</v>
      </c>
      <c r="C66" s="293" t="s">
        <v>614</v>
      </c>
      <c r="D66" s="302" t="s">
        <v>362</v>
      </c>
      <c r="E66" s="304" t="s">
        <v>360</v>
      </c>
      <c r="F66" s="296">
        <v>0</v>
      </c>
      <c r="G66" s="296">
        <v>0</v>
      </c>
      <c r="H66" s="296">
        <v>0</v>
      </c>
      <c r="I66" s="296">
        <v>0</v>
      </c>
      <c r="J66" s="296">
        <v>0</v>
      </c>
      <c r="K66" s="297">
        <v>0</v>
      </c>
      <c r="L66" s="296">
        <v>125000</v>
      </c>
      <c r="M66" s="296">
        <v>0</v>
      </c>
      <c r="N66" s="296">
        <v>0</v>
      </c>
      <c r="O66" s="299">
        <v>0</v>
      </c>
      <c r="P66" s="304"/>
      <c r="Q66" s="305"/>
      <c r="R66" s="303"/>
      <c r="S66" s="303"/>
      <c r="T66" s="303"/>
      <c r="U66" s="302"/>
      <c r="V66" s="302" t="s">
        <v>362</v>
      </c>
      <c r="W66" s="305" t="s">
        <v>303</v>
      </c>
      <c r="X66" s="305"/>
      <c r="Y66" s="305"/>
      <c r="Z66" s="305"/>
      <c r="AA66" s="305"/>
      <c r="AB66" s="305"/>
      <c r="AC66" s="305"/>
      <c r="AD66" s="305"/>
      <c r="AE66" s="307"/>
    </row>
    <row r="67" spans="1:31" ht="52.5">
      <c r="A67" s="301">
        <f t="shared" si="0"/>
        <v>66</v>
      </c>
      <c r="B67" s="293" t="s">
        <v>615</v>
      </c>
      <c r="C67" s="293" t="s">
        <v>615</v>
      </c>
      <c r="D67" s="302" t="s">
        <v>362</v>
      </c>
      <c r="E67" s="304" t="s">
        <v>360</v>
      </c>
      <c r="F67" s="303">
        <v>0</v>
      </c>
      <c r="G67" s="303">
        <v>0</v>
      </c>
      <c r="H67" s="296">
        <v>0</v>
      </c>
      <c r="I67" s="296">
        <v>0</v>
      </c>
      <c r="J67" s="296">
        <v>0</v>
      </c>
      <c r="K67" s="296"/>
      <c r="L67" s="296">
        <v>99000</v>
      </c>
      <c r="M67" s="296">
        <v>0</v>
      </c>
      <c r="N67" s="296">
        <v>0</v>
      </c>
      <c r="O67" s="299">
        <v>0</v>
      </c>
      <c r="P67" s="304"/>
      <c r="Q67" s="305"/>
      <c r="R67" s="303"/>
      <c r="S67" s="303"/>
      <c r="T67" s="303"/>
      <c r="U67" s="302"/>
      <c r="V67" s="302" t="s">
        <v>362</v>
      </c>
      <c r="W67" s="305" t="s">
        <v>303</v>
      </c>
      <c r="X67" s="305"/>
      <c r="Y67" s="305"/>
      <c r="Z67" s="305"/>
      <c r="AA67" s="305"/>
      <c r="AB67" s="305"/>
      <c r="AC67" s="305"/>
      <c r="AD67" s="305"/>
      <c r="AE67" s="307"/>
    </row>
    <row r="68" spans="1:31" ht="52.5">
      <c r="A68" s="301">
        <f t="shared" ref="A68:A129" si="1">A67+1</f>
        <v>67</v>
      </c>
      <c r="B68" s="293" t="s">
        <v>616</v>
      </c>
      <c r="C68" s="293" t="s">
        <v>616</v>
      </c>
      <c r="D68" s="302" t="s">
        <v>362</v>
      </c>
      <c r="E68" s="304" t="s">
        <v>360</v>
      </c>
      <c r="F68" s="303">
        <v>0</v>
      </c>
      <c r="G68" s="303">
        <v>0</v>
      </c>
      <c r="H68" s="296">
        <v>0</v>
      </c>
      <c r="I68" s="296">
        <v>0</v>
      </c>
      <c r="J68" s="296">
        <v>0</v>
      </c>
      <c r="K68" s="296"/>
      <c r="L68" s="296">
        <v>1058545</v>
      </c>
      <c r="M68" s="296">
        <v>0</v>
      </c>
      <c r="N68" s="296">
        <v>0</v>
      </c>
      <c r="O68" s="299">
        <v>0</v>
      </c>
      <c r="P68" s="304"/>
      <c r="Q68" s="305"/>
      <c r="R68" s="303"/>
      <c r="S68" s="303"/>
      <c r="T68" s="303"/>
      <c r="U68" s="302"/>
      <c r="V68" s="302" t="s">
        <v>362</v>
      </c>
      <c r="W68" s="305" t="s">
        <v>303</v>
      </c>
      <c r="X68" s="305"/>
      <c r="Y68" s="305"/>
      <c r="Z68" s="305"/>
      <c r="AA68" s="305"/>
      <c r="AB68" s="305"/>
      <c r="AC68" s="305"/>
      <c r="AD68" s="305"/>
      <c r="AE68" s="307"/>
    </row>
    <row r="69" spans="1:31" ht="52.5">
      <c r="A69" s="301">
        <f t="shared" si="1"/>
        <v>68</v>
      </c>
      <c r="B69" s="293" t="s">
        <v>506</v>
      </c>
      <c r="C69" s="293" t="s">
        <v>507</v>
      </c>
      <c r="D69" s="293" t="s">
        <v>508</v>
      </c>
      <c r="E69" s="294" t="s">
        <v>509</v>
      </c>
      <c r="F69" s="295">
        <v>0</v>
      </c>
      <c r="G69" s="295">
        <v>0</v>
      </c>
      <c r="H69" s="298">
        <v>0</v>
      </c>
      <c r="I69" s="298">
        <v>0</v>
      </c>
      <c r="J69" s="298">
        <v>0</v>
      </c>
      <c r="K69" s="311" t="s">
        <v>498</v>
      </c>
      <c r="L69" s="298">
        <v>400000</v>
      </c>
      <c r="M69" s="298">
        <v>0</v>
      </c>
      <c r="N69" s="298">
        <v>0</v>
      </c>
      <c r="O69" s="298">
        <v>0</v>
      </c>
      <c r="P69" s="300" t="s">
        <v>510</v>
      </c>
      <c r="Q69" s="300" t="s">
        <v>511</v>
      </c>
      <c r="R69" s="300" t="s">
        <v>21</v>
      </c>
      <c r="S69" s="298">
        <v>400000</v>
      </c>
      <c r="T69" s="300"/>
      <c r="U69" s="300"/>
      <c r="V69" s="300" t="s">
        <v>508</v>
      </c>
      <c r="W69" s="300" t="s">
        <v>512</v>
      </c>
      <c r="X69" s="300" t="s">
        <v>498</v>
      </c>
      <c r="Y69" s="300" t="s">
        <v>498</v>
      </c>
      <c r="Z69" s="300" t="s">
        <v>498</v>
      </c>
      <c r="AA69" s="300" t="s">
        <v>218</v>
      </c>
      <c r="AB69" s="300" t="s">
        <v>32</v>
      </c>
      <c r="AC69" s="300" t="s">
        <v>498</v>
      </c>
      <c r="AD69" s="300" t="s">
        <v>498</v>
      </c>
      <c r="AE69" s="300" t="s">
        <v>513</v>
      </c>
    </row>
    <row r="70" spans="1:31" ht="52.5">
      <c r="A70" s="301">
        <f t="shared" si="1"/>
        <v>69</v>
      </c>
      <c r="B70" s="293" t="s">
        <v>461</v>
      </c>
      <c r="C70" s="293" t="s">
        <v>386</v>
      </c>
      <c r="D70" s="302" t="s">
        <v>19</v>
      </c>
      <c r="E70" s="304" t="s">
        <v>475</v>
      </c>
      <c r="F70" s="303">
        <v>0</v>
      </c>
      <c r="G70" s="303">
        <v>0</v>
      </c>
      <c r="H70" s="296">
        <v>56581</v>
      </c>
      <c r="I70" s="296">
        <v>0</v>
      </c>
      <c r="J70" s="296">
        <v>0</v>
      </c>
      <c r="K70" s="311" t="s">
        <v>498</v>
      </c>
      <c r="L70" s="296">
        <v>0</v>
      </c>
      <c r="M70" s="296">
        <v>0</v>
      </c>
      <c r="N70" s="296">
        <v>0</v>
      </c>
      <c r="O70" s="298">
        <v>0</v>
      </c>
      <c r="P70" s="299" t="s">
        <v>462</v>
      </c>
      <c r="Q70" s="304" t="s">
        <v>542</v>
      </c>
      <c r="R70" s="305" t="s">
        <v>476</v>
      </c>
      <c r="S70" s="303">
        <v>56581</v>
      </c>
      <c r="T70" s="303">
        <v>56581</v>
      </c>
      <c r="U70" s="303">
        <v>56581</v>
      </c>
      <c r="V70" s="302" t="s">
        <v>19</v>
      </c>
      <c r="W70" s="305" t="s">
        <v>388</v>
      </c>
      <c r="X70" s="305" t="s">
        <v>29</v>
      </c>
      <c r="Y70" s="305" t="s">
        <v>389</v>
      </c>
      <c r="Z70" s="305" t="s">
        <v>23</v>
      </c>
      <c r="AA70" s="305" t="s">
        <v>477</v>
      </c>
      <c r="AB70" s="305" t="s">
        <v>28</v>
      </c>
      <c r="AC70" s="305" t="s">
        <v>390</v>
      </c>
      <c r="AD70" s="305" t="s">
        <v>543</v>
      </c>
      <c r="AE70" s="305" t="s">
        <v>541</v>
      </c>
    </row>
    <row r="71" spans="1:31" ht="52.5">
      <c r="A71" s="301">
        <f t="shared" si="1"/>
        <v>70</v>
      </c>
      <c r="B71" s="293" t="s">
        <v>545</v>
      </c>
      <c r="C71" s="293" t="s">
        <v>463</v>
      </c>
      <c r="D71" s="302" t="s">
        <v>19</v>
      </c>
      <c r="E71" s="304" t="s">
        <v>478</v>
      </c>
      <c r="F71" s="303">
        <v>0</v>
      </c>
      <c r="G71" s="303">
        <v>0</v>
      </c>
      <c r="H71" s="296">
        <v>92640</v>
      </c>
      <c r="I71" s="296">
        <v>64692</v>
      </c>
      <c r="J71" s="313">
        <v>86256</v>
      </c>
      <c r="K71" s="306">
        <v>0.75</v>
      </c>
      <c r="L71" s="313">
        <v>86256</v>
      </c>
      <c r="M71" s="313">
        <v>86256</v>
      </c>
      <c r="N71" s="296">
        <v>0</v>
      </c>
      <c r="O71" s="298">
        <v>0</v>
      </c>
      <c r="P71" s="299"/>
      <c r="Q71" s="304"/>
      <c r="R71" s="305"/>
      <c r="S71" s="303"/>
      <c r="T71" s="303"/>
      <c r="U71" s="303"/>
      <c r="V71" s="302" t="s">
        <v>19</v>
      </c>
      <c r="W71" s="305" t="s">
        <v>388</v>
      </c>
      <c r="X71" s="305" t="s">
        <v>514</v>
      </c>
      <c r="Y71" s="305"/>
      <c r="Z71" s="305"/>
      <c r="AA71" s="305" t="s">
        <v>317</v>
      </c>
      <c r="AB71" s="305"/>
      <c r="AC71" s="305"/>
      <c r="AD71" s="305"/>
      <c r="AE71" s="305"/>
    </row>
    <row r="72" spans="1:31" ht="52.5">
      <c r="A72" s="301">
        <f t="shared" si="1"/>
        <v>71</v>
      </c>
      <c r="B72" s="293" t="s">
        <v>546</v>
      </c>
      <c r="C72" s="293" t="s">
        <v>497</v>
      </c>
      <c r="D72" s="302" t="s">
        <v>19</v>
      </c>
      <c r="E72" s="294" t="s">
        <v>478</v>
      </c>
      <c r="F72" s="303">
        <v>0</v>
      </c>
      <c r="G72" s="303">
        <v>0</v>
      </c>
      <c r="H72" s="296">
        <v>32000</v>
      </c>
      <c r="I72" s="303">
        <v>0</v>
      </c>
      <c r="J72" s="296">
        <v>18336.2</v>
      </c>
      <c r="K72" s="297" t="s">
        <v>498</v>
      </c>
      <c r="L72" s="296">
        <v>0</v>
      </c>
      <c r="M72" s="296">
        <v>0</v>
      </c>
      <c r="N72" s="296">
        <v>0</v>
      </c>
      <c r="O72" s="298">
        <v>0</v>
      </c>
      <c r="P72" s="299"/>
      <c r="Q72" s="304"/>
      <c r="R72" s="305"/>
      <c r="S72" s="303"/>
      <c r="T72" s="303"/>
      <c r="U72" s="303"/>
      <c r="V72" s="302" t="s">
        <v>19</v>
      </c>
      <c r="W72" s="305" t="s">
        <v>388</v>
      </c>
      <c r="X72" s="305"/>
      <c r="Y72" s="305"/>
      <c r="Z72" s="305"/>
      <c r="AA72" s="305"/>
      <c r="AB72" s="305"/>
      <c r="AC72" s="305"/>
      <c r="AD72" s="305"/>
      <c r="AE72" s="305"/>
    </row>
    <row r="73" spans="1:31" ht="56.25" customHeight="1">
      <c r="A73" s="301">
        <f t="shared" si="1"/>
        <v>72</v>
      </c>
      <c r="B73" s="314" t="s">
        <v>547</v>
      </c>
      <c r="C73" s="302" t="s">
        <v>464</v>
      </c>
      <c r="D73" s="302" t="s">
        <v>19</v>
      </c>
      <c r="E73" s="294" t="s">
        <v>478</v>
      </c>
      <c r="F73" s="303">
        <v>0</v>
      </c>
      <c r="G73" s="303">
        <v>0</v>
      </c>
      <c r="H73" s="296">
        <v>0</v>
      </c>
      <c r="I73" s="296">
        <v>0</v>
      </c>
      <c r="J73" s="296">
        <v>0</v>
      </c>
      <c r="K73" s="311" t="s">
        <v>498</v>
      </c>
      <c r="L73" s="296">
        <v>236278</v>
      </c>
      <c r="M73" s="296">
        <v>129600</v>
      </c>
      <c r="N73" s="296">
        <v>129600</v>
      </c>
      <c r="O73" s="296">
        <v>0</v>
      </c>
      <c r="P73" s="299" t="s">
        <v>549</v>
      </c>
      <c r="Q73" s="315" t="s">
        <v>534</v>
      </c>
      <c r="R73" s="304" t="s">
        <v>532</v>
      </c>
      <c r="S73" s="296">
        <v>63000</v>
      </c>
      <c r="T73" s="303"/>
      <c r="U73" s="303"/>
      <c r="V73" s="302" t="s">
        <v>19</v>
      </c>
      <c r="W73" s="305" t="s">
        <v>388</v>
      </c>
      <c r="X73" s="305"/>
      <c r="Y73" s="305"/>
      <c r="Z73" s="305"/>
      <c r="AA73" s="305" t="s">
        <v>317</v>
      </c>
      <c r="AB73" s="305"/>
      <c r="AC73" s="305"/>
      <c r="AD73" s="305"/>
      <c r="AE73" s="305"/>
    </row>
    <row r="74" spans="1:31" ht="52.5">
      <c r="A74" s="301">
        <f t="shared" si="1"/>
        <v>73</v>
      </c>
      <c r="B74" s="316" t="s">
        <v>515</v>
      </c>
      <c r="C74" s="300" t="s">
        <v>516</v>
      </c>
      <c r="D74" s="300" t="s">
        <v>19</v>
      </c>
      <c r="E74" s="294" t="s">
        <v>517</v>
      </c>
      <c r="F74" s="317">
        <v>0</v>
      </c>
      <c r="G74" s="317">
        <v>0</v>
      </c>
      <c r="H74" s="317">
        <v>0</v>
      </c>
      <c r="I74" s="317">
        <v>0</v>
      </c>
      <c r="J74" s="317">
        <v>0</v>
      </c>
      <c r="K74" s="311" t="s">
        <v>498</v>
      </c>
      <c r="L74" s="318">
        <v>12275</v>
      </c>
      <c r="M74" s="298">
        <v>0</v>
      </c>
      <c r="N74" s="298">
        <v>0</v>
      </c>
      <c r="O74" s="298">
        <v>0</v>
      </c>
      <c r="P74" s="299"/>
      <c r="Q74" s="300"/>
      <c r="R74" s="300"/>
      <c r="S74" s="300"/>
      <c r="T74" s="300"/>
      <c r="U74" s="300"/>
      <c r="V74" s="300" t="s">
        <v>19</v>
      </c>
      <c r="W74" s="300" t="s">
        <v>518</v>
      </c>
      <c r="X74" s="300" t="s">
        <v>29</v>
      </c>
      <c r="Y74" s="300" t="s">
        <v>389</v>
      </c>
      <c r="Z74" s="300" t="s">
        <v>23</v>
      </c>
      <c r="AA74" s="300" t="s">
        <v>519</v>
      </c>
      <c r="AB74" s="300"/>
      <c r="AC74" s="300"/>
      <c r="AD74" s="300" t="s">
        <v>520</v>
      </c>
      <c r="AE74" s="300"/>
    </row>
    <row r="75" spans="1:31" ht="52.5">
      <c r="A75" s="301">
        <f t="shared" si="1"/>
        <v>74</v>
      </c>
      <c r="B75" s="319" t="s">
        <v>521</v>
      </c>
      <c r="C75" s="305" t="s">
        <v>522</v>
      </c>
      <c r="D75" s="305" t="s">
        <v>19</v>
      </c>
      <c r="E75" s="294" t="s">
        <v>523</v>
      </c>
      <c r="F75" s="320">
        <v>0</v>
      </c>
      <c r="G75" s="320">
        <v>0</v>
      </c>
      <c r="H75" s="320">
        <v>0</v>
      </c>
      <c r="I75" s="320">
        <v>0</v>
      </c>
      <c r="J75" s="320">
        <v>0</v>
      </c>
      <c r="K75" s="311" t="s">
        <v>498</v>
      </c>
      <c r="L75" s="321">
        <v>45000</v>
      </c>
      <c r="M75" s="313">
        <v>25000</v>
      </c>
      <c r="N75" s="313">
        <v>15000</v>
      </c>
      <c r="O75" s="313">
        <v>10000</v>
      </c>
      <c r="P75" s="299"/>
      <c r="Q75" s="305"/>
      <c r="R75" s="305"/>
      <c r="S75" s="305"/>
      <c r="T75" s="305"/>
      <c r="U75" s="305"/>
      <c r="V75" s="305" t="s">
        <v>19</v>
      </c>
      <c r="W75" s="305" t="s">
        <v>518</v>
      </c>
      <c r="X75" s="305" t="s">
        <v>524</v>
      </c>
      <c r="Y75" s="305" t="s">
        <v>525</v>
      </c>
      <c r="Z75" s="305" t="s">
        <v>23</v>
      </c>
      <c r="AA75" s="305" t="s">
        <v>526</v>
      </c>
      <c r="AB75" s="305"/>
      <c r="AC75" s="305"/>
      <c r="AD75" s="305" t="s">
        <v>527</v>
      </c>
      <c r="AE75" s="305"/>
    </row>
    <row r="76" spans="1:31" ht="52.5">
      <c r="A76" s="301">
        <f t="shared" si="1"/>
        <v>75</v>
      </c>
      <c r="B76" s="319" t="s">
        <v>528</v>
      </c>
      <c r="C76" s="305" t="s">
        <v>529</v>
      </c>
      <c r="D76" s="305" t="s">
        <v>19</v>
      </c>
      <c r="E76" s="294" t="s">
        <v>517</v>
      </c>
      <c r="F76" s="322">
        <v>0</v>
      </c>
      <c r="G76" s="322">
        <v>0</v>
      </c>
      <c r="H76" s="322">
        <v>0</v>
      </c>
      <c r="I76" s="322">
        <v>0</v>
      </c>
      <c r="J76" s="322">
        <v>0</v>
      </c>
      <c r="K76" s="306">
        <v>0</v>
      </c>
      <c r="L76" s="323">
        <v>19000</v>
      </c>
      <c r="M76" s="324">
        <v>0</v>
      </c>
      <c r="N76" s="324">
        <v>0</v>
      </c>
      <c r="O76" s="296">
        <v>0</v>
      </c>
      <c r="P76" s="299"/>
      <c r="Q76" s="325"/>
      <c r="R76" s="325"/>
      <c r="S76" s="325"/>
      <c r="T76" s="325"/>
      <c r="U76" s="325"/>
      <c r="V76" s="325" t="s">
        <v>19</v>
      </c>
      <c r="W76" s="325" t="s">
        <v>518</v>
      </c>
      <c r="X76" s="325" t="s">
        <v>29</v>
      </c>
      <c r="Y76" s="325" t="s">
        <v>530</v>
      </c>
      <c r="Z76" s="325" t="s">
        <v>23</v>
      </c>
      <c r="AA76" s="325" t="s">
        <v>526</v>
      </c>
      <c r="AB76" s="325"/>
      <c r="AC76" s="325"/>
      <c r="AD76" s="325" t="s">
        <v>531</v>
      </c>
      <c r="AE76" s="325"/>
    </row>
    <row r="77" spans="1:31" ht="75" customHeight="1">
      <c r="A77" s="301">
        <f t="shared" si="1"/>
        <v>76</v>
      </c>
      <c r="B77" s="293" t="s">
        <v>556</v>
      </c>
      <c r="C77" s="293" t="s">
        <v>556</v>
      </c>
      <c r="D77" s="305" t="s">
        <v>19</v>
      </c>
      <c r="E77" s="294" t="s">
        <v>475</v>
      </c>
      <c r="F77" s="303">
        <v>0</v>
      </c>
      <c r="G77" s="303">
        <v>0</v>
      </c>
      <c r="H77" s="296">
        <v>0</v>
      </c>
      <c r="I77" s="296">
        <v>0</v>
      </c>
      <c r="J77" s="296">
        <v>0</v>
      </c>
      <c r="K77" s="311" t="s">
        <v>498</v>
      </c>
      <c r="L77" s="321">
        <v>360000</v>
      </c>
      <c r="M77" s="296">
        <v>0</v>
      </c>
      <c r="N77" s="296">
        <v>0</v>
      </c>
      <c r="O77" s="298">
        <v>0</v>
      </c>
      <c r="P77" s="326" t="s">
        <v>533</v>
      </c>
      <c r="Q77" s="305" t="s">
        <v>557</v>
      </c>
      <c r="R77" s="305" t="s">
        <v>532</v>
      </c>
      <c r="S77" s="327">
        <v>184086</v>
      </c>
      <c r="T77" s="303"/>
      <c r="U77" s="303"/>
      <c r="V77" s="305" t="s">
        <v>19</v>
      </c>
      <c r="W77" s="305" t="s">
        <v>535</v>
      </c>
      <c r="X77" s="305" t="s">
        <v>536</v>
      </c>
      <c r="Y77" s="305" t="s">
        <v>537</v>
      </c>
      <c r="Z77" s="305" t="s">
        <v>23</v>
      </c>
      <c r="AA77" s="305" t="s">
        <v>560</v>
      </c>
      <c r="AB77" s="305"/>
      <c r="AC77" s="305"/>
      <c r="AD77" s="305" t="s">
        <v>538</v>
      </c>
      <c r="AE77" s="305"/>
    </row>
    <row r="78" spans="1:31" ht="41.25" customHeight="1">
      <c r="A78" s="301">
        <f t="shared" si="1"/>
        <v>77</v>
      </c>
      <c r="B78" s="293" t="s">
        <v>548</v>
      </c>
      <c r="C78" s="293" t="s">
        <v>539</v>
      </c>
      <c r="D78" s="302" t="s">
        <v>19</v>
      </c>
      <c r="E78" s="328" t="s">
        <v>540</v>
      </c>
      <c r="F78" s="303">
        <v>0</v>
      </c>
      <c r="G78" s="303">
        <v>0</v>
      </c>
      <c r="H78" s="296">
        <v>0</v>
      </c>
      <c r="I78" s="296">
        <v>0</v>
      </c>
      <c r="J78" s="296">
        <v>0</v>
      </c>
      <c r="K78" s="311" t="s">
        <v>498</v>
      </c>
      <c r="L78" s="296">
        <v>0</v>
      </c>
      <c r="M78" s="296">
        <v>22100</v>
      </c>
      <c r="N78" s="296">
        <v>0</v>
      </c>
      <c r="O78" s="298">
        <v>0</v>
      </c>
      <c r="P78" s="299"/>
      <c r="Q78" s="304"/>
      <c r="R78" s="305"/>
      <c r="S78" s="303"/>
      <c r="T78" s="303"/>
      <c r="U78" s="303"/>
      <c r="V78" s="302" t="s">
        <v>19</v>
      </c>
      <c r="W78" s="305" t="s">
        <v>388</v>
      </c>
      <c r="X78" s="305"/>
      <c r="Y78" s="305"/>
      <c r="Z78" s="305"/>
      <c r="AA78" s="305" t="s">
        <v>317</v>
      </c>
      <c r="AB78" s="305"/>
      <c r="AC78" s="305"/>
      <c r="AD78" s="305"/>
      <c r="AE78" s="305"/>
    </row>
    <row r="79" spans="1:31" ht="52.5" customHeight="1">
      <c r="A79" s="301">
        <f t="shared" si="1"/>
        <v>78</v>
      </c>
      <c r="B79" s="293" t="s">
        <v>465</v>
      </c>
      <c r="C79" s="293" t="s">
        <v>465</v>
      </c>
      <c r="D79" s="302" t="s">
        <v>19</v>
      </c>
      <c r="E79" s="328" t="s">
        <v>478</v>
      </c>
      <c r="F79" s="303">
        <v>0</v>
      </c>
      <c r="G79" s="303">
        <v>0</v>
      </c>
      <c r="H79" s="296">
        <v>0</v>
      </c>
      <c r="I79" s="296">
        <v>0</v>
      </c>
      <c r="J79" s="296">
        <v>0</v>
      </c>
      <c r="K79" s="311" t="s">
        <v>498</v>
      </c>
      <c r="L79" s="296">
        <v>0</v>
      </c>
      <c r="M79" s="296">
        <v>121275.5</v>
      </c>
      <c r="N79" s="296">
        <v>104000</v>
      </c>
      <c r="O79" s="298">
        <v>10400</v>
      </c>
      <c r="P79" s="299"/>
      <c r="Q79" s="304"/>
      <c r="R79" s="305"/>
      <c r="S79" s="303"/>
      <c r="T79" s="303"/>
      <c r="U79" s="303"/>
      <c r="V79" s="302" t="s">
        <v>19</v>
      </c>
      <c r="W79" s="305" t="s">
        <v>388</v>
      </c>
      <c r="X79" s="305"/>
      <c r="Y79" s="305"/>
      <c r="Z79" s="305"/>
      <c r="AA79" s="305" t="s">
        <v>317</v>
      </c>
      <c r="AB79" s="305"/>
      <c r="AC79" s="305"/>
      <c r="AD79" s="305"/>
      <c r="AE79" s="305"/>
    </row>
    <row r="80" spans="1:31" ht="45" customHeight="1">
      <c r="A80" s="301">
        <f t="shared" si="1"/>
        <v>79</v>
      </c>
      <c r="B80" s="293" t="s">
        <v>466</v>
      </c>
      <c r="C80" s="293" t="s">
        <v>466</v>
      </c>
      <c r="D80" s="302" t="s">
        <v>19</v>
      </c>
      <c r="E80" s="328" t="s">
        <v>478</v>
      </c>
      <c r="F80" s="303">
        <v>0</v>
      </c>
      <c r="G80" s="303">
        <v>0</v>
      </c>
      <c r="H80" s="296">
        <v>0</v>
      </c>
      <c r="I80" s="296">
        <v>0</v>
      </c>
      <c r="J80" s="296">
        <v>0</v>
      </c>
      <c r="K80" s="311" t="s">
        <v>498</v>
      </c>
      <c r="L80" s="296">
        <v>0</v>
      </c>
      <c r="M80" s="296">
        <v>0</v>
      </c>
      <c r="N80" s="296">
        <v>120995.2</v>
      </c>
      <c r="O80" s="298">
        <v>111600</v>
      </c>
      <c r="P80" s="299"/>
      <c r="Q80" s="304"/>
      <c r="R80" s="305"/>
      <c r="S80" s="303"/>
      <c r="T80" s="303"/>
      <c r="U80" s="303"/>
      <c r="V80" s="302" t="s">
        <v>19</v>
      </c>
      <c r="W80" s="305" t="s">
        <v>388</v>
      </c>
      <c r="X80" s="305"/>
      <c r="Y80" s="305"/>
      <c r="Z80" s="305"/>
      <c r="AA80" s="305" t="s">
        <v>317</v>
      </c>
      <c r="AB80" s="305"/>
      <c r="AC80" s="305"/>
      <c r="AD80" s="305"/>
      <c r="AE80" s="305"/>
    </row>
    <row r="81" spans="1:31" ht="52.5" customHeight="1">
      <c r="A81" s="301">
        <f t="shared" si="1"/>
        <v>80</v>
      </c>
      <c r="B81" s="293" t="s">
        <v>411</v>
      </c>
      <c r="C81" s="314" t="s">
        <v>495</v>
      </c>
      <c r="D81" s="302" t="s">
        <v>53</v>
      </c>
      <c r="E81" s="304" t="s">
        <v>479</v>
      </c>
      <c r="F81" s="303">
        <v>260000</v>
      </c>
      <c r="G81" s="303">
        <v>31580</v>
      </c>
      <c r="H81" s="296">
        <v>500000</v>
      </c>
      <c r="I81" s="296">
        <v>335427.87</v>
      </c>
      <c r="J81" s="296">
        <v>504706</v>
      </c>
      <c r="K81" s="306">
        <v>0.01</v>
      </c>
      <c r="L81" s="296">
        <v>0</v>
      </c>
      <c r="M81" s="296">
        <v>0</v>
      </c>
      <c r="N81" s="296">
        <v>0</v>
      </c>
      <c r="O81" s="298">
        <v>0</v>
      </c>
      <c r="P81" s="299" t="s">
        <v>350</v>
      </c>
      <c r="Q81" s="304" t="s">
        <v>355</v>
      </c>
      <c r="R81" s="305" t="s">
        <v>480</v>
      </c>
      <c r="S81" s="303">
        <v>260000</v>
      </c>
      <c r="T81" s="303"/>
      <c r="U81" s="303">
        <v>260000</v>
      </c>
      <c r="V81" s="305" t="s">
        <v>53</v>
      </c>
      <c r="W81" s="305" t="s">
        <v>303</v>
      </c>
      <c r="X81" s="305"/>
      <c r="Y81" s="305"/>
      <c r="Z81" s="305"/>
      <c r="AA81" s="305" t="s">
        <v>481</v>
      </c>
      <c r="AB81" s="305"/>
      <c r="AC81" s="305"/>
      <c r="AD81" s="305"/>
      <c r="AE81" s="305"/>
    </row>
    <row r="82" spans="1:31" ht="51" customHeight="1">
      <c r="A82" s="301">
        <f t="shared" si="1"/>
        <v>81</v>
      </c>
      <c r="B82" s="293" t="s">
        <v>305</v>
      </c>
      <c r="C82" s="293" t="s">
        <v>305</v>
      </c>
      <c r="D82" s="302" t="s">
        <v>53</v>
      </c>
      <c r="E82" s="304" t="s">
        <v>341</v>
      </c>
      <c r="F82" s="303">
        <v>204754</v>
      </c>
      <c r="G82" s="303">
        <v>15173.22</v>
      </c>
      <c r="H82" s="296">
        <v>180000</v>
      </c>
      <c r="I82" s="296">
        <v>9580.5299999999988</v>
      </c>
      <c r="J82" s="296">
        <v>20000</v>
      </c>
      <c r="K82" s="306">
        <v>0</v>
      </c>
      <c r="L82" s="296">
        <v>195000</v>
      </c>
      <c r="M82" s="296">
        <v>0</v>
      </c>
      <c r="N82" s="296">
        <v>0</v>
      </c>
      <c r="O82" s="298">
        <v>0</v>
      </c>
      <c r="P82" s="299"/>
      <c r="Q82" s="304"/>
      <c r="R82" s="305"/>
      <c r="S82" s="303"/>
      <c r="T82" s="303"/>
      <c r="U82" s="303"/>
      <c r="V82" s="305" t="s">
        <v>53</v>
      </c>
      <c r="W82" s="305" t="s">
        <v>303</v>
      </c>
      <c r="X82" s="305"/>
      <c r="Y82" s="305"/>
      <c r="Z82" s="305"/>
      <c r="AA82" s="305" t="s">
        <v>316</v>
      </c>
      <c r="AB82" s="305"/>
      <c r="AC82" s="305"/>
      <c r="AD82" s="305"/>
      <c r="AE82" s="305"/>
    </row>
    <row r="83" spans="1:31" ht="52.5">
      <c r="A83" s="301">
        <f t="shared" si="1"/>
        <v>82</v>
      </c>
      <c r="B83" s="293" t="s">
        <v>412</v>
      </c>
      <c r="C83" s="293" t="s">
        <v>413</v>
      </c>
      <c r="D83" s="302" t="s">
        <v>53</v>
      </c>
      <c r="E83" s="304" t="s">
        <v>341</v>
      </c>
      <c r="F83" s="303">
        <v>306700</v>
      </c>
      <c r="G83" s="303">
        <v>52014.400000000009</v>
      </c>
      <c r="H83" s="296">
        <v>250000</v>
      </c>
      <c r="I83" s="296">
        <v>0</v>
      </c>
      <c r="J83" s="296">
        <v>0</v>
      </c>
      <c r="K83" s="306">
        <v>0</v>
      </c>
      <c r="L83" s="296">
        <v>275000</v>
      </c>
      <c r="M83" s="296">
        <v>0</v>
      </c>
      <c r="N83" s="296">
        <v>0</v>
      </c>
      <c r="O83" s="298">
        <v>0</v>
      </c>
      <c r="P83" s="299"/>
      <c r="Q83" s="304"/>
      <c r="R83" s="305"/>
      <c r="S83" s="303"/>
      <c r="T83" s="303"/>
      <c r="U83" s="303"/>
      <c r="V83" s="305" t="s">
        <v>53</v>
      </c>
      <c r="W83" s="305" t="s">
        <v>303</v>
      </c>
      <c r="X83" s="305"/>
      <c r="Y83" s="305"/>
      <c r="Z83" s="305"/>
      <c r="AA83" s="305" t="s">
        <v>316</v>
      </c>
      <c r="AB83" s="305"/>
      <c r="AC83" s="305"/>
      <c r="AD83" s="305"/>
      <c r="AE83" s="305" t="s">
        <v>367</v>
      </c>
    </row>
    <row r="84" spans="1:31" ht="52.5">
      <c r="A84" s="301">
        <f t="shared" si="1"/>
        <v>83</v>
      </c>
      <c r="B84" s="293" t="s">
        <v>304</v>
      </c>
      <c r="C84" s="293" t="s">
        <v>304</v>
      </c>
      <c r="D84" s="302" t="s">
        <v>53</v>
      </c>
      <c r="E84" s="304" t="s">
        <v>341</v>
      </c>
      <c r="F84" s="303">
        <v>305320</v>
      </c>
      <c r="G84" s="303">
        <v>442489.25</v>
      </c>
      <c r="H84" s="296">
        <v>0</v>
      </c>
      <c r="I84" s="296">
        <v>0</v>
      </c>
      <c r="J84" s="296">
        <v>0</v>
      </c>
      <c r="K84" s="311" t="s">
        <v>498</v>
      </c>
      <c r="L84" s="296">
        <v>0</v>
      </c>
      <c r="M84" s="296">
        <v>0</v>
      </c>
      <c r="N84" s="296">
        <v>0</v>
      </c>
      <c r="O84" s="298">
        <v>0</v>
      </c>
      <c r="P84" s="299" t="s">
        <v>351</v>
      </c>
      <c r="Q84" s="304" t="s">
        <v>355</v>
      </c>
      <c r="R84" s="305" t="s">
        <v>480</v>
      </c>
      <c r="S84" s="303">
        <v>305320</v>
      </c>
      <c r="T84" s="303">
        <v>305320</v>
      </c>
      <c r="U84" s="303">
        <v>305320</v>
      </c>
      <c r="V84" s="305" t="s">
        <v>53</v>
      </c>
      <c r="W84" s="305" t="s">
        <v>303</v>
      </c>
      <c r="X84" s="305"/>
      <c r="Y84" s="305"/>
      <c r="Z84" s="305"/>
      <c r="AA84" s="305" t="s">
        <v>316</v>
      </c>
      <c r="AB84" s="305"/>
      <c r="AC84" s="305"/>
      <c r="AD84" s="305"/>
      <c r="AE84" s="305"/>
    </row>
    <row r="85" spans="1:31" ht="52.5">
      <c r="A85" s="301">
        <f t="shared" si="1"/>
        <v>84</v>
      </c>
      <c r="B85" s="293" t="s">
        <v>306</v>
      </c>
      <c r="C85" s="293" t="s">
        <v>306</v>
      </c>
      <c r="D85" s="302" t="s">
        <v>53</v>
      </c>
      <c r="E85" s="304" t="s">
        <v>341</v>
      </c>
      <c r="F85" s="303">
        <v>2503526</v>
      </c>
      <c r="G85" s="296">
        <v>0</v>
      </c>
      <c r="H85" s="296">
        <v>2503526</v>
      </c>
      <c r="I85" s="296">
        <v>123737.51999999999</v>
      </c>
      <c r="J85" s="296">
        <v>183737.52</v>
      </c>
      <c r="K85" s="306">
        <v>0.02</v>
      </c>
      <c r="L85" s="296">
        <v>2992878</v>
      </c>
      <c r="M85" s="296">
        <v>0</v>
      </c>
      <c r="N85" s="296">
        <v>0</v>
      </c>
      <c r="O85" s="298">
        <v>0</v>
      </c>
      <c r="P85" s="299" t="s">
        <v>493</v>
      </c>
      <c r="Q85" s="304" t="s">
        <v>355</v>
      </c>
      <c r="R85" s="305" t="s">
        <v>480</v>
      </c>
      <c r="S85" s="303">
        <v>3176616</v>
      </c>
      <c r="T85" s="303"/>
      <c r="U85" s="303">
        <v>3176616</v>
      </c>
      <c r="V85" s="305" t="s">
        <v>53</v>
      </c>
      <c r="W85" s="305" t="s">
        <v>303</v>
      </c>
      <c r="X85" s="305"/>
      <c r="Y85" s="305"/>
      <c r="Z85" s="305"/>
      <c r="AA85" s="305" t="s">
        <v>316</v>
      </c>
      <c r="AB85" s="305"/>
      <c r="AC85" s="305"/>
      <c r="AD85" s="305"/>
      <c r="AE85" s="305"/>
    </row>
    <row r="86" spans="1:31" ht="52.5">
      <c r="A86" s="301">
        <f t="shared" si="1"/>
        <v>85</v>
      </c>
      <c r="B86" s="293" t="s">
        <v>332</v>
      </c>
      <c r="C86" s="293" t="s">
        <v>414</v>
      </c>
      <c r="D86" s="302" t="s">
        <v>53</v>
      </c>
      <c r="E86" s="304" t="s">
        <v>341</v>
      </c>
      <c r="F86" s="303">
        <v>0</v>
      </c>
      <c r="G86" s="303">
        <v>659750</v>
      </c>
      <c r="H86" s="296">
        <v>0</v>
      </c>
      <c r="I86" s="296">
        <v>0</v>
      </c>
      <c r="J86" s="296">
        <v>0</v>
      </c>
      <c r="K86" s="311" t="s">
        <v>498</v>
      </c>
      <c r="L86" s="296">
        <v>0</v>
      </c>
      <c r="M86" s="296">
        <v>0</v>
      </c>
      <c r="N86" s="296">
        <v>0</v>
      </c>
      <c r="O86" s="298">
        <v>0</v>
      </c>
      <c r="P86" s="299" t="s">
        <v>349</v>
      </c>
      <c r="Q86" s="304" t="s">
        <v>355</v>
      </c>
      <c r="R86" s="305"/>
      <c r="S86" s="303">
        <v>827390</v>
      </c>
      <c r="T86" s="303">
        <v>657183</v>
      </c>
      <c r="U86" s="303">
        <v>827390</v>
      </c>
      <c r="V86" s="305" t="s">
        <v>53</v>
      </c>
      <c r="W86" s="305" t="s">
        <v>303</v>
      </c>
      <c r="X86" s="305"/>
      <c r="Y86" s="305"/>
      <c r="Z86" s="305"/>
      <c r="AA86" s="305" t="s">
        <v>316</v>
      </c>
      <c r="AB86" s="305"/>
      <c r="AC86" s="305"/>
      <c r="AD86" s="305"/>
      <c r="AE86" s="305"/>
    </row>
    <row r="87" spans="1:31" ht="52.5">
      <c r="A87" s="301">
        <f t="shared" si="1"/>
        <v>86</v>
      </c>
      <c r="B87" s="293" t="s">
        <v>333</v>
      </c>
      <c r="C87" s="293" t="s">
        <v>415</v>
      </c>
      <c r="D87" s="302" t="s">
        <v>53</v>
      </c>
      <c r="E87" s="304" t="s">
        <v>341</v>
      </c>
      <c r="F87" s="303">
        <v>0</v>
      </c>
      <c r="G87" s="303">
        <v>167640</v>
      </c>
      <c r="H87" s="296">
        <v>0</v>
      </c>
      <c r="I87" s="296">
        <v>0</v>
      </c>
      <c r="J87" s="296">
        <v>0</v>
      </c>
      <c r="K87" s="311" t="s">
        <v>498</v>
      </c>
      <c r="L87" s="296">
        <v>0</v>
      </c>
      <c r="M87" s="296">
        <v>0</v>
      </c>
      <c r="N87" s="296">
        <v>0</v>
      </c>
      <c r="O87" s="298">
        <v>0</v>
      </c>
      <c r="P87" s="299"/>
      <c r="Q87" s="304"/>
      <c r="R87" s="305"/>
      <c r="S87" s="303"/>
      <c r="T87" s="303"/>
      <c r="U87" s="303"/>
      <c r="V87" s="305" t="s">
        <v>53</v>
      </c>
      <c r="W87" s="305" t="s">
        <v>303</v>
      </c>
      <c r="X87" s="305"/>
      <c r="Y87" s="305"/>
      <c r="Z87" s="305"/>
      <c r="AA87" s="305" t="s">
        <v>316</v>
      </c>
      <c r="AB87" s="305"/>
      <c r="AC87" s="305"/>
      <c r="AD87" s="305"/>
      <c r="AE87" s="305"/>
    </row>
    <row r="88" spans="1:31" ht="52.5">
      <c r="A88" s="301">
        <f t="shared" si="1"/>
        <v>87</v>
      </c>
      <c r="B88" s="293" t="s">
        <v>505</v>
      </c>
      <c r="C88" s="293" t="s">
        <v>505</v>
      </c>
      <c r="D88" s="302" t="s">
        <v>53</v>
      </c>
      <c r="E88" s="304" t="s">
        <v>361</v>
      </c>
      <c r="F88" s="303">
        <v>2100000</v>
      </c>
      <c r="G88" s="303">
        <v>1548771.65</v>
      </c>
      <c r="H88" s="296">
        <v>0</v>
      </c>
      <c r="I88" s="296">
        <v>80526.240000000005</v>
      </c>
      <c r="J88" s="296">
        <v>80526.240000000005</v>
      </c>
      <c r="K88" s="306">
        <v>0.25</v>
      </c>
      <c r="L88" s="296">
        <v>0</v>
      </c>
      <c r="M88" s="296">
        <v>0</v>
      </c>
      <c r="N88" s="296">
        <v>0</v>
      </c>
      <c r="O88" s="298">
        <v>0</v>
      </c>
      <c r="P88" s="299"/>
      <c r="Q88" s="304"/>
      <c r="R88" s="305"/>
      <c r="S88" s="303"/>
      <c r="T88" s="303"/>
      <c r="U88" s="303"/>
      <c r="V88" s="305" t="s">
        <v>53</v>
      </c>
      <c r="W88" s="305" t="s">
        <v>303</v>
      </c>
      <c r="X88" s="305"/>
      <c r="Y88" s="305"/>
      <c r="Z88" s="305"/>
      <c r="AA88" s="305" t="s">
        <v>307</v>
      </c>
      <c r="AB88" s="305"/>
      <c r="AC88" s="305"/>
      <c r="AD88" s="305"/>
      <c r="AE88" s="305"/>
    </row>
    <row r="89" spans="1:31" ht="52.5">
      <c r="A89" s="301">
        <f t="shared" si="1"/>
        <v>88</v>
      </c>
      <c r="B89" s="293" t="s">
        <v>311</v>
      </c>
      <c r="C89" s="293" t="s">
        <v>311</v>
      </c>
      <c r="D89" s="302" t="s">
        <v>53</v>
      </c>
      <c r="E89" s="304" t="s">
        <v>343</v>
      </c>
      <c r="F89" s="303">
        <v>12000</v>
      </c>
      <c r="G89" s="303">
        <v>9867.0400000000009</v>
      </c>
      <c r="H89" s="296">
        <v>0</v>
      </c>
      <c r="I89" s="296">
        <v>0</v>
      </c>
      <c r="J89" s="296">
        <v>0</v>
      </c>
      <c r="K89" s="297" t="s">
        <v>498</v>
      </c>
      <c r="L89" s="296">
        <v>0</v>
      </c>
      <c r="M89" s="296">
        <v>0</v>
      </c>
      <c r="N89" s="296">
        <v>0</v>
      </c>
      <c r="O89" s="298">
        <v>0</v>
      </c>
      <c r="P89" s="299"/>
      <c r="Q89" s="304"/>
      <c r="R89" s="305"/>
      <c r="S89" s="303"/>
      <c r="T89" s="303"/>
      <c r="U89" s="303"/>
      <c r="V89" s="305" t="s">
        <v>53</v>
      </c>
      <c r="W89" s="305" t="s">
        <v>303</v>
      </c>
      <c r="X89" s="305" t="s">
        <v>29</v>
      </c>
      <c r="Y89" s="305"/>
      <c r="Z89" s="305" t="s">
        <v>319</v>
      </c>
      <c r="AA89" s="305" t="s">
        <v>317</v>
      </c>
      <c r="AB89" s="305"/>
      <c r="AC89" s="305"/>
      <c r="AD89" s="305"/>
      <c r="AE89" s="305"/>
    </row>
    <row r="90" spans="1:31" ht="52.5">
      <c r="A90" s="301">
        <f t="shared" si="1"/>
        <v>89</v>
      </c>
      <c r="B90" s="293" t="s">
        <v>399</v>
      </c>
      <c r="C90" s="293" t="s">
        <v>400</v>
      </c>
      <c r="D90" s="302" t="s">
        <v>53</v>
      </c>
      <c r="E90" s="304" t="s">
        <v>344</v>
      </c>
      <c r="F90" s="303">
        <v>130000</v>
      </c>
      <c r="G90" s="296">
        <v>75032</v>
      </c>
      <c r="H90" s="296">
        <v>54458</v>
      </c>
      <c r="I90" s="296">
        <v>0</v>
      </c>
      <c r="J90" s="296">
        <v>54458</v>
      </c>
      <c r="K90" s="306">
        <v>0</v>
      </c>
      <c r="L90" s="296">
        <v>0</v>
      </c>
      <c r="M90" s="296">
        <v>0</v>
      </c>
      <c r="N90" s="296">
        <v>0</v>
      </c>
      <c r="O90" s="298">
        <v>0</v>
      </c>
      <c r="P90" s="299"/>
      <c r="Q90" s="304"/>
      <c r="R90" s="305"/>
      <c r="S90" s="303"/>
      <c r="T90" s="303"/>
      <c r="U90" s="303"/>
      <c r="V90" s="305" t="s">
        <v>53</v>
      </c>
      <c r="W90" s="305" t="s">
        <v>303</v>
      </c>
      <c r="X90" s="305" t="s">
        <v>29</v>
      </c>
      <c r="Y90" s="305"/>
      <c r="Z90" s="305" t="s">
        <v>320</v>
      </c>
      <c r="AA90" s="305" t="s">
        <v>322</v>
      </c>
      <c r="AB90" s="305"/>
      <c r="AC90" s="305"/>
      <c r="AD90" s="305"/>
      <c r="AE90" s="305"/>
    </row>
    <row r="91" spans="1:31" ht="52.5">
      <c r="A91" s="301">
        <f t="shared" si="1"/>
        <v>90</v>
      </c>
      <c r="B91" s="293" t="s">
        <v>401</v>
      </c>
      <c r="C91" s="293" t="s">
        <v>402</v>
      </c>
      <c r="D91" s="302" t="s">
        <v>53</v>
      </c>
      <c r="E91" s="304" t="s">
        <v>344</v>
      </c>
      <c r="F91" s="303">
        <v>265000</v>
      </c>
      <c r="G91" s="296">
        <v>0</v>
      </c>
      <c r="H91" s="296">
        <v>136877</v>
      </c>
      <c r="I91" s="296">
        <v>128164.41</v>
      </c>
      <c r="J91" s="296">
        <v>136877</v>
      </c>
      <c r="K91" s="306">
        <v>0.75</v>
      </c>
      <c r="L91" s="296">
        <v>0</v>
      </c>
      <c r="M91" s="296">
        <v>0</v>
      </c>
      <c r="N91" s="296">
        <v>0</v>
      </c>
      <c r="O91" s="298">
        <v>0</v>
      </c>
      <c r="P91" s="299"/>
      <c r="Q91" s="304"/>
      <c r="R91" s="305"/>
      <c r="S91" s="303"/>
      <c r="T91" s="303"/>
      <c r="U91" s="303"/>
      <c r="V91" s="305" t="s">
        <v>53</v>
      </c>
      <c r="W91" s="305" t="s">
        <v>303</v>
      </c>
      <c r="X91" s="305" t="s">
        <v>29</v>
      </c>
      <c r="Y91" s="305"/>
      <c r="Z91" s="305" t="s">
        <v>321</v>
      </c>
      <c r="AA91" s="305" t="s">
        <v>322</v>
      </c>
      <c r="AB91" s="305"/>
      <c r="AC91" s="305"/>
      <c r="AD91" s="305"/>
      <c r="AE91" s="305"/>
    </row>
    <row r="92" spans="1:31" ht="52.5">
      <c r="A92" s="301">
        <f t="shared" si="1"/>
        <v>91</v>
      </c>
      <c r="B92" s="293" t="s">
        <v>318</v>
      </c>
      <c r="C92" s="293" t="s">
        <v>403</v>
      </c>
      <c r="D92" s="302" t="s">
        <v>53</v>
      </c>
      <c r="E92" s="304" t="s">
        <v>344</v>
      </c>
      <c r="F92" s="303">
        <v>78000</v>
      </c>
      <c r="G92" s="303">
        <v>74500</v>
      </c>
      <c r="H92" s="296">
        <v>0</v>
      </c>
      <c r="I92" s="296">
        <v>0</v>
      </c>
      <c r="J92" s="296">
        <v>0</v>
      </c>
      <c r="K92" s="311" t="s">
        <v>498</v>
      </c>
      <c r="L92" s="296">
        <v>0</v>
      </c>
      <c r="M92" s="296">
        <v>0</v>
      </c>
      <c r="N92" s="296">
        <v>0</v>
      </c>
      <c r="O92" s="298">
        <v>0</v>
      </c>
      <c r="P92" s="299"/>
      <c r="Q92" s="304"/>
      <c r="R92" s="305"/>
      <c r="S92" s="303"/>
      <c r="T92" s="303"/>
      <c r="U92" s="303"/>
      <c r="V92" s="305" t="s">
        <v>53</v>
      </c>
      <c r="W92" s="305" t="s">
        <v>303</v>
      </c>
      <c r="X92" s="305" t="s">
        <v>29</v>
      </c>
      <c r="Y92" s="305"/>
      <c r="Z92" s="305" t="s">
        <v>313</v>
      </c>
      <c r="AA92" s="305" t="s">
        <v>322</v>
      </c>
      <c r="AB92" s="305"/>
      <c r="AC92" s="305"/>
      <c r="AD92" s="305"/>
      <c r="AE92" s="305"/>
    </row>
    <row r="93" spans="1:31" ht="52.5">
      <c r="A93" s="301">
        <f t="shared" si="1"/>
        <v>92</v>
      </c>
      <c r="B93" s="293" t="s">
        <v>311</v>
      </c>
      <c r="C93" s="293" t="s">
        <v>311</v>
      </c>
      <c r="D93" s="302" t="s">
        <v>53</v>
      </c>
      <c r="E93" s="304" t="s">
        <v>398</v>
      </c>
      <c r="F93" s="303">
        <v>0</v>
      </c>
      <c r="G93" s="303">
        <v>0</v>
      </c>
      <c r="H93" s="296">
        <v>12500</v>
      </c>
      <c r="I93" s="296">
        <v>10771.04</v>
      </c>
      <c r="J93" s="296">
        <v>10771.04</v>
      </c>
      <c r="K93" s="306">
        <v>1</v>
      </c>
      <c r="L93" s="296">
        <v>0</v>
      </c>
      <c r="M93" s="296">
        <v>0</v>
      </c>
      <c r="N93" s="296">
        <v>0</v>
      </c>
      <c r="O93" s="298">
        <v>0</v>
      </c>
      <c r="P93" s="299"/>
      <c r="Q93" s="304"/>
      <c r="R93" s="305"/>
      <c r="S93" s="303"/>
      <c r="T93" s="303"/>
      <c r="U93" s="303"/>
      <c r="V93" s="305" t="s">
        <v>53</v>
      </c>
      <c r="W93" s="305" t="s">
        <v>303</v>
      </c>
      <c r="X93" s="305"/>
      <c r="Y93" s="305"/>
      <c r="Z93" s="305"/>
      <c r="AA93" s="305" t="s">
        <v>317</v>
      </c>
      <c r="AB93" s="305"/>
      <c r="AC93" s="305"/>
      <c r="AD93" s="305"/>
      <c r="AE93" s="305"/>
    </row>
    <row r="94" spans="1:31" ht="52.5">
      <c r="A94" s="301">
        <f t="shared" si="1"/>
        <v>93</v>
      </c>
      <c r="B94" s="293" t="s">
        <v>416</v>
      </c>
      <c r="C94" s="293" t="s">
        <v>417</v>
      </c>
      <c r="D94" s="302" t="s">
        <v>53</v>
      </c>
      <c r="E94" s="304" t="s">
        <v>344</v>
      </c>
      <c r="F94" s="303">
        <v>0</v>
      </c>
      <c r="G94" s="303">
        <v>0</v>
      </c>
      <c r="H94" s="296">
        <v>320000</v>
      </c>
      <c r="I94" s="296">
        <v>0</v>
      </c>
      <c r="J94" s="296">
        <v>320000</v>
      </c>
      <c r="K94" s="306">
        <v>0</v>
      </c>
      <c r="L94" s="296">
        <v>0</v>
      </c>
      <c r="M94" s="296">
        <v>0</v>
      </c>
      <c r="N94" s="296">
        <v>0</v>
      </c>
      <c r="O94" s="298">
        <v>0</v>
      </c>
      <c r="P94" s="299"/>
      <c r="Q94" s="304"/>
      <c r="R94" s="305"/>
      <c r="S94" s="303"/>
      <c r="T94" s="303"/>
      <c r="U94" s="303"/>
      <c r="V94" s="305" t="s">
        <v>53</v>
      </c>
      <c r="W94" s="305" t="s">
        <v>303</v>
      </c>
      <c r="X94" s="305"/>
      <c r="Y94" s="305"/>
      <c r="Z94" s="305"/>
      <c r="AA94" s="305" t="s">
        <v>322</v>
      </c>
      <c r="AB94" s="305"/>
      <c r="AC94" s="305"/>
      <c r="AD94" s="305"/>
      <c r="AE94" s="305"/>
    </row>
    <row r="95" spans="1:31" ht="52.5">
      <c r="A95" s="301">
        <f t="shared" si="1"/>
        <v>94</v>
      </c>
      <c r="B95" s="293" t="s">
        <v>418</v>
      </c>
      <c r="C95" s="293" t="s">
        <v>419</v>
      </c>
      <c r="D95" s="302" t="s">
        <v>53</v>
      </c>
      <c r="E95" s="304" t="s">
        <v>484</v>
      </c>
      <c r="F95" s="303">
        <v>0</v>
      </c>
      <c r="G95" s="303">
        <v>0</v>
      </c>
      <c r="H95" s="296">
        <v>78000</v>
      </c>
      <c r="I95" s="303">
        <v>62688.5</v>
      </c>
      <c r="J95" s="296">
        <v>62688.5</v>
      </c>
      <c r="K95" s="297">
        <v>0</v>
      </c>
      <c r="L95" s="296">
        <v>0</v>
      </c>
      <c r="M95" s="296">
        <v>0</v>
      </c>
      <c r="N95" s="296">
        <v>0</v>
      </c>
      <c r="O95" s="298">
        <v>0</v>
      </c>
      <c r="P95" s="299"/>
      <c r="Q95" s="304"/>
      <c r="R95" s="305"/>
      <c r="S95" s="303"/>
      <c r="T95" s="303"/>
      <c r="U95" s="303"/>
      <c r="V95" s="305" t="s">
        <v>53</v>
      </c>
      <c r="W95" s="305" t="s">
        <v>303</v>
      </c>
      <c r="X95" s="305"/>
      <c r="Y95" s="305"/>
      <c r="Z95" s="305"/>
      <c r="AA95" s="305" t="s">
        <v>323</v>
      </c>
      <c r="AB95" s="305"/>
      <c r="AC95" s="305"/>
      <c r="AD95" s="305"/>
      <c r="AE95" s="305"/>
    </row>
    <row r="96" spans="1:31" ht="46.5" customHeight="1">
      <c r="A96" s="301">
        <f t="shared" si="1"/>
        <v>95</v>
      </c>
      <c r="B96" s="293" t="s">
        <v>630</v>
      </c>
      <c r="C96" s="293" t="s">
        <v>617</v>
      </c>
      <c r="D96" s="302" t="s">
        <v>53</v>
      </c>
      <c r="E96" s="328" t="s">
        <v>631</v>
      </c>
      <c r="F96" s="303"/>
      <c r="G96" s="303">
        <v>0</v>
      </c>
      <c r="H96" s="296">
        <v>0</v>
      </c>
      <c r="I96" s="303">
        <v>0</v>
      </c>
      <c r="J96" s="303">
        <v>0</v>
      </c>
      <c r="K96" s="297" t="s">
        <v>498</v>
      </c>
      <c r="L96" s="296">
        <v>0</v>
      </c>
      <c r="M96" s="296">
        <v>33000</v>
      </c>
      <c r="N96" s="296">
        <v>0</v>
      </c>
      <c r="O96" s="298">
        <v>0</v>
      </c>
      <c r="P96" s="299"/>
      <c r="Q96" s="304"/>
      <c r="R96" s="305"/>
      <c r="S96" s="303"/>
      <c r="T96" s="303"/>
      <c r="U96" s="303"/>
      <c r="V96" s="305" t="s">
        <v>53</v>
      </c>
      <c r="W96" s="305" t="s">
        <v>303</v>
      </c>
      <c r="X96" s="305"/>
      <c r="Y96" s="305"/>
      <c r="Z96" s="305"/>
      <c r="AA96" s="305"/>
      <c r="AB96" s="305"/>
      <c r="AC96" s="305"/>
      <c r="AD96" s="305"/>
      <c r="AE96" s="305"/>
    </row>
    <row r="97" spans="1:31" ht="52.5">
      <c r="A97" s="301">
        <f t="shared" si="1"/>
        <v>96</v>
      </c>
      <c r="B97" s="293" t="s">
        <v>618</v>
      </c>
      <c r="C97" s="293" t="s">
        <v>426</v>
      </c>
      <c r="D97" s="302" t="s">
        <v>53</v>
      </c>
      <c r="E97" s="304" t="s">
        <v>484</v>
      </c>
      <c r="F97" s="303">
        <v>0</v>
      </c>
      <c r="G97" s="303">
        <v>0</v>
      </c>
      <c r="H97" s="296">
        <v>0</v>
      </c>
      <c r="I97" s="296">
        <v>0</v>
      </c>
      <c r="J97" s="296">
        <v>0</v>
      </c>
      <c r="K97" s="311" t="s">
        <v>498</v>
      </c>
      <c r="L97" s="296">
        <v>0</v>
      </c>
      <c r="M97" s="296">
        <v>0</v>
      </c>
      <c r="N97" s="296">
        <v>205000</v>
      </c>
      <c r="O97" s="298">
        <v>0</v>
      </c>
      <c r="P97" s="299"/>
      <c r="Q97" s="304"/>
      <c r="R97" s="305"/>
      <c r="S97" s="303"/>
      <c r="T97" s="303"/>
      <c r="U97" s="303"/>
      <c r="V97" s="305" t="s">
        <v>53</v>
      </c>
      <c r="W97" s="305" t="s">
        <v>303</v>
      </c>
      <c r="X97" s="305"/>
      <c r="Y97" s="305"/>
      <c r="Z97" s="305"/>
      <c r="AA97" s="305" t="s">
        <v>322</v>
      </c>
      <c r="AB97" s="305"/>
      <c r="AC97" s="305"/>
      <c r="AD97" s="305"/>
      <c r="AE97" s="305"/>
    </row>
    <row r="98" spans="1:31" ht="52.5">
      <c r="A98" s="301">
        <f t="shared" si="1"/>
        <v>97</v>
      </c>
      <c r="B98" s="293" t="s">
        <v>429</v>
      </c>
      <c r="C98" s="293" t="s">
        <v>429</v>
      </c>
      <c r="D98" s="302" t="s">
        <v>53</v>
      </c>
      <c r="E98" s="304" t="s">
        <v>361</v>
      </c>
      <c r="F98" s="296">
        <v>0</v>
      </c>
      <c r="G98" s="303">
        <v>0</v>
      </c>
      <c r="H98" s="296">
        <v>2000000</v>
      </c>
      <c r="I98" s="303">
        <v>1458382.44</v>
      </c>
      <c r="J98" s="303">
        <v>2000000</v>
      </c>
      <c r="K98" s="297" t="s">
        <v>498</v>
      </c>
      <c r="L98" s="296">
        <v>0</v>
      </c>
      <c r="M98" s="296">
        <v>0</v>
      </c>
      <c r="N98" s="296">
        <v>0</v>
      </c>
      <c r="O98" s="298">
        <v>0</v>
      </c>
      <c r="P98" s="299" t="s">
        <v>430</v>
      </c>
      <c r="Q98" s="304"/>
      <c r="R98" s="305"/>
      <c r="S98" s="303"/>
      <c r="T98" s="303"/>
      <c r="U98" s="303"/>
      <c r="V98" s="305" t="s">
        <v>53</v>
      </c>
      <c r="W98" s="305" t="s">
        <v>303</v>
      </c>
      <c r="X98" s="305"/>
      <c r="Y98" s="305"/>
      <c r="Z98" s="305"/>
      <c r="AA98" s="305" t="s">
        <v>307</v>
      </c>
      <c r="AB98" s="305"/>
      <c r="AC98" s="305"/>
      <c r="AD98" s="305"/>
      <c r="AE98" s="305"/>
    </row>
    <row r="99" spans="1:31" ht="52.5">
      <c r="A99" s="301">
        <f t="shared" si="1"/>
        <v>98</v>
      </c>
      <c r="B99" s="293" t="s">
        <v>431</v>
      </c>
      <c r="C99" s="293" t="s">
        <v>431</v>
      </c>
      <c r="D99" s="302" t="s">
        <v>53</v>
      </c>
      <c r="E99" s="304" t="s">
        <v>361</v>
      </c>
      <c r="F99" s="296">
        <v>0</v>
      </c>
      <c r="G99" s="303">
        <v>0</v>
      </c>
      <c r="H99" s="296">
        <v>0</v>
      </c>
      <c r="I99" s="303">
        <v>0</v>
      </c>
      <c r="J99" s="303">
        <v>0</v>
      </c>
      <c r="K99" s="297" t="s">
        <v>498</v>
      </c>
      <c r="L99" s="296">
        <v>7000000</v>
      </c>
      <c r="M99" s="296">
        <v>0</v>
      </c>
      <c r="N99" s="296">
        <v>0</v>
      </c>
      <c r="O99" s="298">
        <v>0</v>
      </c>
      <c r="P99" s="299"/>
      <c r="Q99" s="304"/>
      <c r="R99" s="305"/>
      <c r="S99" s="303"/>
      <c r="T99" s="303"/>
      <c r="U99" s="303"/>
      <c r="V99" s="305" t="s">
        <v>53</v>
      </c>
      <c r="W99" s="305" t="s">
        <v>303</v>
      </c>
      <c r="X99" s="305"/>
      <c r="Y99" s="305"/>
      <c r="Z99" s="305"/>
      <c r="AA99" s="305" t="s">
        <v>307</v>
      </c>
      <c r="AB99" s="305"/>
      <c r="AC99" s="305"/>
      <c r="AD99" s="305"/>
      <c r="AE99" s="305"/>
    </row>
    <row r="100" spans="1:31" ht="52.5">
      <c r="A100" s="301">
        <f t="shared" si="1"/>
        <v>99</v>
      </c>
      <c r="B100" s="293" t="s">
        <v>432</v>
      </c>
      <c r="C100" s="293" t="s">
        <v>432</v>
      </c>
      <c r="D100" s="302" t="s">
        <v>53</v>
      </c>
      <c r="E100" s="304" t="s">
        <v>361</v>
      </c>
      <c r="F100" s="296">
        <v>0</v>
      </c>
      <c r="G100" s="303">
        <v>0</v>
      </c>
      <c r="H100" s="296">
        <v>0</v>
      </c>
      <c r="I100" s="303">
        <v>0</v>
      </c>
      <c r="J100" s="303">
        <v>0</v>
      </c>
      <c r="K100" s="297" t="s">
        <v>498</v>
      </c>
      <c r="L100" s="296">
        <v>0</v>
      </c>
      <c r="M100" s="296">
        <v>7000000</v>
      </c>
      <c r="N100" s="296">
        <v>0</v>
      </c>
      <c r="O100" s="298">
        <v>0</v>
      </c>
      <c r="P100" s="299"/>
      <c r="Q100" s="304"/>
      <c r="R100" s="305"/>
      <c r="S100" s="303"/>
      <c r="T100" s="303"/>
      <c r="U100" s="303"/>
      <c r="V100" s="305" t="s">
        <v>53</v>
      </c>
      <c r="W100" s="305" t="s">
        <v>303</v>
      </c>
      <c r="X100" s="305"/>
      <c r="Y100" s="305"/>
      <c r="Z100" s="305"/>
      <c r="AA100" s="304" t="s">
        <v>307</v>
      </c>
      <c r="AB100" s="305"/>
      <c r="AC100" s="305"/>
      <c r="AD100" s="305"/>
      <c r="AE100" s="305"/>
    </row>
    <row r="101" spans="1:31" ht="52.5">
      <c r="A101" s="301">
        <f t="shared" si="1"/>
        <v>100</v>
      </c>
      <c r="B101" s="293" t="s">
        <v>433</v>
      </c>
      <c r="C101" s="293" t="s">
        <v>433</v>
      </c>
      <c r="D101" s="302" t="s">
        <v>53</v>
      </c>
      <c r="E101" s="304" t="s">
        <v>361</v>
      </c>
      <c r="F101" s="296">
        <v>0</v>
      </c>
      <c r="G101" s="296">
        <v>0</v>
      </c>
      <c r="H101" s="296">
        <v>0</v>
      </c>
      <c r="I101" s="303">
        <v>0</v>
      </c>
      <c r="J101" s="303">
        <v>0</v>
      </c>
      <c r="K101" s="297" t="s">
        <v>498</v>
      </c>
      <c r="L101" s="296">
        <v>0</v>
      </c>
      <c r="M101" s="296">
        <v>0</v>
      </c>
      <c r="N101" s="296">
        <v>2000000</v>
      </c>
      <c r="O101" s="298">
        <v>2000000</v>
      </c>
      <c r="P101" s="299"/>
      <c r="Q101" s="304"/>
      <c r="R101" s="305"/>
      <c r="S101" s="303"/>
      <c r="T101" s="303"/>
      <c r="U101" s="303"/>
      <c r="V101" s="305" t="s">
        <v>53</v>
      </c>
      <c r="W101" s="305" t="s">
        <v>303</v>
      </c>
      <c r="X101" s="305"/>
      <c r="Y101" s="305"/>
      <c r="Z101" s="305"/>
      <c r="AA101" s="304" t="s">
        <v>387</v>
      </c>
      <c r="AB101" s="305"/>
      <c r="AC101" s="305"/>
      <c r="AD101" s="305"/>
      <c r="AE101" s="305"/>
    </row>
    <row r="102" spans="1:31" ht="52.5">
      <c r="A102" s="301">
        <f t="shared" si="1"/>
        <v>101</v>
      </c>
      <c r="B102" s="293" t="s">
        <v>619</v>
      </c>
      <c r="C102" s="293" t="s">
        <v>620</v>
      </c>
      <c r="D102" s="302" t="s">
        <v>53</v>
      </c>
      <c r="E102" s="304" t="s">
        <v>632</v>
      </c>
      <c r="F102" s="296">
        <v>0</v>
      </c>
      <c r="G102" s="296">
        <v>0</v>
      </c>
      <c r="H102" s="296">
        <v>0</v>
      </c>
      <c r="I102" s="303">
        <v>0</v>
      </c>
      <c r="J102" s="303">
        <v>0</v>
      </c>
      <c r="K102" s="297" t="s">
        <v>498</v>
      </c>
      <c r="L102" s="296">
        <v>0</v>
      </c>
      <c r="M102" s="296">
        <v>45000000</v>
      </c>
      <c r="N102" s="296">
        <v>0</v>
      </c>
      <c r="O102" s="298">
        <v>0</v>
      </c>
      <c r="P102" s="299"/>
      <c r="Q102" s="304"/>
      <c r="R102" s="305"/>
      <c r="S102" s="303"/>
      <c r="T102" s="303"/>
      <c r="U102" s="303"/>
      <c r="V102" s="305" t="s">
        <v>53</v>
      </c>
      <c r="W102" s="305" t="s">
        <v>303</v>
      </c>
      <c r="X102" s="305"/>
      <c r="Y102" s="305"/>
      <c r="Z102" s="305"/>
      <c r="AA102" s="304"/>
      <c r="AB102" s="305"/>
      <c r="AC102" s="305"/>
      <c r="AD102" s="305"/>
      <c r="AE102" s="305"/>
    </row>
    <row r="103" spans="1:31" ht="52.5">
      <c r="A103" s="301">
        <f t="shared" si="1"/>
        <v>102</v>
      </c>
      <c r="B103" s="293" t="s">
        <v>434</v>
      </c>
      <c r="C103" s="293" t="s">
        <v>434</v>
      </c>
      <c r="D103" s="302" t="s">
        <v>53</v>
      </c>
      <c r="E103" s="304" t="s">
        <v>632</v>
      </c>
      <c r="F103" s="296">
        <v>0</v>
      </c>
      <c r="G103" s="296">
        <v>0</v>
      </c>
      <c r="H103" s="296">
        <v>0</v>
      </c>
      <c r="I103" s="303">
        <v>0</v>
      </c>
      <c r="J103" s="303">
        <v>0</v>
      </c>
      <c r="K103" s="297" t="s">
        <v>498</v>
      </c>
      <c r="L103" s="296">
        <v>0</v>
      </c>
      <c r="M103" s="296">
        <v>450000</v>
      </c>
      <c r="N103" s="296">
        <v>0</v>
      </c>
      <c r="O103" s="298">
        <v>0</v>
      </c>
      <c r="P103" s="299"/>
      <c r="Q103" s="304"/>
      <c r="R103" s="305"/>
      <c r="S103" s="303"/>
      <c r="T103" s="303"/>
      <c r="U103" s="303"/>
      <c r="V103" s="305" t="s">
        <v>53</v>
      </c>
      <c r="W103" s="305" t="s">
        <v>303</v>
      </c>
      <c r="X103" s="305"/>
      <c r="Y103" s="305"/>
      <c r="Z103" s="305"/>
      <c r="AA103" s="304" t="s">
        <v>387</v>
      </c>
      <c r="AB103" s="305"/>
      <c r="AC103" s="305"/>
      <c r="AD103" s="305"/>
      <c r="AE103" s="305"/>
    </row>
    <row r="104" spans="1:31" ht="52.5">
      <c r="A104" s="301">
        <f t="shared" si="1"/>
        <v>103</v>
      </c>
      <c r="B104" s="293" t="s">
        <v>435</v>
      </c>
      <c r="C104" s="293" t="s">
        <v>435</v>
      </c>
      <c r="D104" s="302" t="s">
        <v>53</v>
      </c>
      <c r="E104" s="304" t="s">
        <v>632</v>
      </c>
      <c r="F104" s="296">
        <v>0</v>
      </c>
      <c r="G104" s="296">
        <v>0</v>
      </c>
      <c r="H104" s="296">
        <v>0</v>
      </c>
      <c r="I104" s="303">
        <v>0</v>
      </c>
      <c r="J104" s="303">
        <v>0</v>
      </c>
      <c r="K104" s="297" t="s">
        <v>498</v>
      </c>
      <c r="L104" s="296">
        <v>0</v>
      </c>
      <c r="M104" s="296">
        <v>65000</v>
      </c>
      <c r="N104" s="296">
        <v>0</v>
      </c>
      <c r="O104" s="298">
        <v>0</v>
      </c>
      <c r="P104" s="299"/>
      <c r="Q104" s="304"/>
      <c r="R104" s="305"/>
      <c r="S104" s="303"/>
      <c r="T104" s="303"/>
      <c r="U104" s="303"/>
      <c r="V104" s="305" t="s">
        <v>53</v>
      </c>
      <c r="W104" s="305" t="s">
        <v>303</v>
      </c>
      <c r="X104" s="305"/>
      <c r="Y104" s="305"/>
      <c r="Z104" s="305"/>
      <c r="AA104" s="304" t="s">
        <v>387</v>
      </c>
      <c r="AB104" s="305"/>
      <c r="AC104" s="305"/>
      <c r="AD104" s="305"/>
      <c r="AE104" s="305"/>
    </row>
    <row r="105" spans="1:31" ht="52.5">
      <c r="A105" s="301">
        <f t="shared" si="1"/>
        <v>104</v>
      </c>
      <c r="B105" s="293" t="s">
        <v>436</v>
      </c>
      <c r="C105" s="293" t="s">
        <v>436</v>
      </c>
      <c r="D105" s="302" t="s">
        <v>53</v>
      </c>
      <c r="E105" s="304" t="s">
        <v>632</v>
      </c>
      <c r="F105" s="296">
        <v>0</v>
      </c>
      <c r="G105" s="296">
        <v>0</v>
      </c>
      <c r="H105" s="296">
        <v>0</v>
      </c>
      <c r="I105" s="303">
        <v>0</v>
      </c>
      <c r="J105" s="303">
        <v>0</v>
      </c>
      <c r="K105" s="297" t="s">
        <v>498</v>
      </c>
      <c r="L105" s="296">
        <v>0</v>
      </c>
      <c r="M105" s="296">
        <v>400000</v>
      </c>
      <c r="N105" s="296">
        <v>0</v>
      </c>
      <c r="O105" s="298">
        <v>0</v>
      </c>
      <c r="P105" s="299"/>
      <c r="Q105" s="304"/>
      <c r="R105" s="305"/>
      <c r="S105" s="303"/>
      <c r="T105" s="303"/>
      <c r="U105" s="303"/>
      <c r="V105" s="305" t="s">
        <v>53</v>
      </c>
      <c r="W105" s="305" t="s">
        <v>303</v>
      </c>
      <c r="X105" s="305"/>
      <c r="Y105" s="305"/>
      <c r="Z105" s="305"/>
      <c r="AA105" s="304" t="s">
        <v>387</v>
      </c>
      <c r="AB105" s="305"/>
      <c r="AC105" s="305"/>
      <c r="AD105" s="305"/>
      <c r="AE105" s="305"/>
    </row>
    <row r="106" spans="1:31" ht="52.5">
      <c r="A106" s="301">
        <f t="shared" si="1"/>
        <v>105</v>
      </c>
      <c r="B106" s="293" t="s">
        <v>437</v>
      </c>
      <c r="C106" s="293" t="s">
        <v>437</v>
      </c>
      <c r="D106" s="302" t="s">
        <v>53</v>
      </c>
      <c r="E106" s="304" t="s">
        <v>632</v>
      </c>
      <c r="F106" s="296">
        <v>0</v>
      </c>
      <c r="G106" s="296">
        <v>0</v>
      </c>
      <c r="H106" s="296">
        <v>0</v>
      </c>
      <c r="I106" s="303">
        <v>0</v>
      </c>
      <c r="J106" s="303">
        <v>0</v>
      </c>
      <c r="K106" s="297" t="s">
        <v>498</v>
      </c>
      <c r="L106" s="296">
        <v>0</v>
      </c>
      <c r="M106" s="296">
        <v>100000</v>
      </c>
      <c r="N106" s="296">
        <v>0</v>
      </c>
      <c r="O106" s="298">
        <v>0</v>
      </c>
      <c r="P106" s="299"/>
      <c r="Q106" s="304"/>
      <c r="R106" s="305"/>
      <c r="S106" s="303"/>
      <c r="T106" s="303"/>
      <c r="U106" s="303"/>
      <c r="V106" s="305" t="s">
        <v>53</v>
      </c>
      <c r="W106" s="305" t="s">
        <v>303</v>
      </c>
      <c r="X106" s="305"/>
      <c r="Y106" s="305"/>
      <c r="Z106" s="305"/>
      <c r="AA106" s="304" t="s">
        <v>387</v>
      </c>
      <c r="AB106" s="305"/>
      <c r="AC106" s="305"/>
      <c r="AD106" s="305"/>
      <c r="AE106" s="305"/>
    </row>
    <row r="107" spans="1:31" ht="52.5">
      <c r="A107" s="301">
        <f t="shared" si="1"/>
        <v>106</v>
      </c>
      <c r="B107" s="293" t="s">
        <v>438</v>
      </c>
      <c r="C107" s="293" t="s">
        <v>438</v>
      </c>
      <c r="D107" s="302" t="s">
        <v>53</v>
      </c>
      <c r="E107" s="304" t="s">
        <v>632</v>
      </c>
      <c r="F107" s="296">
        <v>0</v>
      </c>
      <c r="G107" s="296">
        <v>0</v>
      </c>
      <c r="H107" s="296">
        <v>0</v>
      </c>
      <c r="I107" s="303">
        <v>0</v>
      </c>
      <c r="J107" s="303">
        <v>0</v>
      </c>
      <c r="K107" s="297" t="s">
        <v>498</v>
      </c>
      <c r="L107" s="296">
        <v>0</v>
      </c>
      <c r="M107" s="296">
        <v>5000000</v>
      </c>
      <c r="N107" s="296">
        <v>0</v>
      </c>
      <c r="O107" s="298">
        <v>0</v>
      </c>
      <c r="P107" s="299"/>
      <c r="Q107" s="304"/>
      <c r="R107" s="305"/>
      <c r="S107" s="303"/>
      <c r="T107" s="303"/>
      <c r="U107" s="303"/>
      <c r="V107" s="305" t="s">
        <v>53</v>
      </c>
      <c r="W107" s="305" t="s">
        <v>303</v>
      </c>
      <c r="X107" s="305"/>
      <c r="Y107" s="305"/>
      <c r="Z107" s="305"/>
      <c r="AA107" s="304" t="s">
        <v>387</v>
      </c>
      <c r="AB107" s="305"/>
      <c r="AC107" s="305"/>
      <c r="AD107" s="305"/>
      <c r="AE107" s="305"/>
    </row>
    <row r="108" spans="1:31" ht="52.5">
      <c r="A108" s="301">
        <f t="shared" si="1"/>
        <v>107</v>
      </c>
      <c r="B108" s="293" t="s">
        <v>439</v>
      </c>
      <c r="C108" s="293" t="s">
        <v>439</v>
      </c>
      <c r="D108" s="302" t="s">
        <v>53</v>
      </c>
      <c r="E108" s="304" t="s">
        <v>632</v>
      </c>
      <c r="F108" s="296">
        <v>0</v>
      </c>
      <c r="G108" s="296">
        <v>0</v>
      </c>
      <c r="H108" s="296">
        <v>0</v>
      </c>
      <c r="I108" s="303">
        <v>0</v>
      </c>
      <c r="J108" s="303">
        <v>0</v>
      </c>
      <c r="K108" s="297" t="s">
        <v>498</v>
      </c>
      <c r="L108" s="296">
        <v>0</v>
      </c>
      <c r="M108" s="296">
        <v>0</v>
      </c>
      <c r="N108" s="296">
        <v>25000</v>
      </c>
      <c r="O108" s="298">
        <v>0</v>
      </c>
      <c r="P108" s="299"/>
      <c r="Q108" s="304"/>
      <c r="R108" s="305"/>
      <c r="S108" s="303"/>
      <c r="T108" s="303"/>
      <c r="U108" s="303"/>
      <c r="V108" s="305" t="s">
        <v>53</v>
      </c>
      <c r="W108" s="305" t="s">
        <v>303</v>
      </c>
      <c r="X108" s="305"/>
      <c r="Y108" s="305"/>
      <c r="Z108" s="305"/>
      <c r="AA108" s="304" t="s">
        <v>387</v>
      </c>
      <c r="AB108" s="305"/>
      <c r="AC108" s="305"/>
      <c r="AD108" s="305"/>
      <c r="AE108" s="305"/>
    </row>
    <row r="109" spans="1:31" ht="52.5">
      <c r="A109" s="301">
        <f t="shared" si="1"/>
        <v>108</v>
      </c>
      <c r="B109" s="293" t="s">
        <v>440</v>
      </c>
      <c r="C109" s="293" t="s">
        <v>440</v>
      </c>
      <c r="D109" s="302" t="s">
        <v>53</v>
      </c>
      <c r="E109" s="304" t="s">
        <v>632</v>
      </c>
      <c r="F109" s="296">
        <v>0</v>
      </c>
      <c r="G109" s="296">
        <v>0</v>
      </c>
      <c r="H109" s="296">
        <v>0</v>
      </c>
      <c r="I109" s="303">
        <v>0</v>
      </c>
      <c r="J109" s="303">
        <v>0</v>
      </c>
      <c r="K109" s="297" t="s">
        <v>498</v>
      </c>
      <c r="L109" s="296">
        <v>0</v>
      </c>
      <c r="M109" s="296">
        <v>75000</v>
      </c>
      <c r="N109" s="296">
        <v>0</v>
      </c>
      <c r="O109" s="298">
        <v>0</v>
      </c>
      <c r="P109" s="299"/>
      <c r="Q109" s="304"/>
      <c r="R109" s="305"/>
      <c r="S109" s="303"/>
      <c r="T109" s="303"/>
      <c r="U109" s="303"/>
      <c r="V109" s="305" t="s">
        <v>53</v>
      </c>
      <c r="W109" s="305" t="s">
        <v>303</v>
      </c>
      <c r="X109" s="305"/>
      <c r="Y109" s="305"/>
      <c r="Z109" s="305"/>
      <c r="AA109" s="304" t="s">
        <v>387</v>
      </c>
      <c r="AB109" s="305"/>
      <c r="AC109" s="305"/>
      <c r="AD109" s="305"/>
      <c r="AE109" s="305"/>
    </row>
    <row r="110" spans="1:31" ht="52.5">
      <c r="A110" s="301">
        <f t="shared" si="1"/>
        <v>109</v>
      </c>
      <c r="B110" s="293" t="s">
        <v>441</v>
      </c>
      <c r="C110" s="293" t="s">
        <v>441</v>
      </c>
      <c r="D110" s="302" t="s">
        <v>53</v>
      </c>
      <c r="E110" s="304" t="s">
        <v>632</v>
      </c>
      <c r="F110" s="296">
        <v>0</v>
      </c>
      <c r="G110" s="296">
        <v>0</v>
      </c>
      <c r="H110" s="296">
        <v>0</v>
      </c>
      <c r="I110" s="303">
        <v>0</v>
      </c>
      <c r="J110" s="303">
        <v>0</v>
      </c>
      <c r="K110" s="297" t="s">
        <v>498</v>
      </c>
      <c r="L110" s="296">
        <v>0</v>
      </c>
      <c r="M110" s="296">
        <v>50000</v>
      </c>
      <c r="N110" s="296">
        <v>0</v>
      </c>
      <c r="O110" s="298">
        <v>0</v>
      </c>
      <c r="P110" s="299"/>
      <c r="Q110" s="304"/>
      <c r="R110" s="305"/>
      <c r="S110" s="303"/>
      <c r="T110" s="303"/>
      <c r="U110" s="303"/>
      <c r="V110" s="305" t="s">
        <v>53</v>
      </c>
      <c r="W110" s="305" t="s">
        <v>303</v>
      </c>
      <c r="X110" s="305"/>
      <c r="Y110" s="305"/>
      <c r="Z110" s="305"/>
      <c r="AA110" s="304" t="s">
        <v>387</v>
      </c>
      <c r="AB110" s="305"/>
      <c r="AC110" s="305"/>
      <c r="AD110" s="305"/>
      <c r="AE110" s="305"/>
    </row>
    <row r="111" spans="1:31" ht="52.5">
      <c r="A111" s="301">
        <f t="shared" si="1"/>
        <v>110</v>
      </c>
      <c r="B111" s="293" t="s">
        <v>442</v>
      </c>
      <c r="C111" s="293" t="s">
        <v>621</v>
      </c>
      <c r="D111" s="302" t="s">
        <v>53</v>
      </c>
      <c r="E111" s="304" t="s">
        <v>632</v>
      </c>
      <c r="F111" s="296">
        <v>0</v>
      </c>
      <c r="G111" s="296">
        <v>0</v>
      </c>
      <c r="H111" s="296">
        <v>0</v>
      </c>
      <c r="I111" s="303">
        <v>0</v>
      </c>
      <c r="J111" s="303">
        <v>0</v>
      </c>
      <c r="K111" s="297" t="s">
        <v>498</v>
      </c>
      <c r="L111" s="296">
        <v>0</v>
      </c>
      <c r="M111" s="296">
        <v>135000</v>
      </c>
      <c r="N111" s="296">
        <v>0</v>
      </c>
      <c r="O111" s="298">
        <v>0</v>
      </c>
      <c r="P111" s="299"/>
      <c r="Q111" s="304"/>
      <c r="R111" s="305"/>
      <c r="S111" s="303"/>
      <c r="T111" s="303"/>
      <c r="U111" s="303"/>
      <c r="V111" s="305" t="s">
        <v>53</v>
      </c>
      <c r="W111" s="305" t="s">
        <v>303</v>
      </c>
      <c r="X111" s="305"/>
      <c r="Y111" s="305"/>
      <c r="Z111" s="305"/>
      <c r="AA111" s="304" t="s">
        <v>387</v>
      </c>
      <c r="AB111" s="305"/>
      <c r="AC111" s="305"/>
      <c r="AD111" s="305"/>
      <c r="AE111" s="305"/>
    </row>
    <row r="112" spans="1:31" ht="52.5">
      <c r="A112" s="301">
        <f t="shared" si="1"/>
        <v>111</v>
      </c>
      <c r="B112" s="293" t="s">
        <v>443</v>
      </c>
      <c r="C112" s="293" t="s">
        <v>443</v>
      </c>
      <c r="D112" s="302" t="s">
        <v>53</v>
      </c>
      <c r="E112" s="304" t="s">
        <v>632</v>
      </c>
      <c r="F112" s="296">
        <v>0</v>
      </c>
      <c r="G112" s="296">
        <v>0</v>
      </c>
      <c r="H112" s="296">
        <v>0</v>
      </c>
      <c r="I112" s="303">
        <v>0</v>
      </c>
      <c r="J112" s="303">
        <v>0</v>
      </c>
      <c r="K112" s="297" t="s">
        <v>498</v>
      </c>
      <c r="L112" s="296">
        <v>0</v>
      </c>
      <c r="M112" s="296">
        <v>1500000</v>
      </c>
      <c r="N112" s="296">
        <v>0</v>
      </c>
      <c r="O112" s="298">
        <v>0</v>
      </c>
      <c r="P112" s="299"/>
      <c r="Q112" s="304"/>
      <c r="R112" s="305"/>
      <c r="S112" s="303"/>
      <c r="T112" s="303"/>
      <c r="U112" s="303"/>
      <c r="V112" s="305" t="s">
        <v>53</v>
      </c>
      <c r="W112" s="305" t="s">
        <v>303</v>
      </c>
      <c r="X112" s="305"/>
      <c r="Y112" s="305"/>
      <c r="Z112" s="305"/>
      <c r="AA112" s="304" t="s">
        <v>387</v>
      </c>
      <c r="AB112" s="305"/>
      <c r="AC112" s="305"/>
      <c r="AD112" s="305"/>
      <c r="AE112" s="305"/>
    </row>
    <row r="113" spans="1:31" ht="52.5">
      <c r="A113" s="301">
        <f t="shared" si="1"/>
        <v>112</v>
      </c>
      <c r="B113" s="293" t="s">
        <v>444</v>
      </c>
      <c r="C113" s="293" t="s">
        <v>444</v>
      </c>
      <c r="D113" s="302" t="s">
        <v>53</v>
      </c>
      <c r="E113" s="304" t="s">
        <v>632</v>
      </c>
      <c r="F113" s="296">
        <v>0</v>
      </c>
      <c r="G113" s="296">
        <v>0</v>
      </c>
      <c r="H113" s="296">
        <v>0</v>
      </c>
      <c r="I113" s="303">
        <v>0</v>
      </c>
      <c r="J113" s="303">
        <v>0</v>
      </c>
      <c r="K113" s="297" t="s">
        <v>498</v>
      </c>
      <c r="L113" s="296">
        <v>0</v>
      </c>
      <c r="M113" s="296">
        <v>0</v>
      </c>
      <c r="N113" s="296">
        <v>6500000</v>
      </c>
      <c r="O113" s="298">
        <v>0</v>
      </c>
      <c r="P113" s="299"/>
      <c r="Q113" s="304"/>
      <c r="R113" s="305"/>
      <c r="S113" s="303"/>
      <c r="T113" s="303"/>
      <c r="U113" s="303"/>
      <c r="V113" s="305" t="s">
        <v>53</v>
      </c>
      <c r="W113" s="305" t="s">
        <v>303</v>
      </c>
      <c r="X113" s="305"/>
      <c r="Y113" s="305"/>
      <c r="Z113" s="305"/>
      <c r="AA113" s="304" t="s">
        <v>387</v>
      </c>
      <c r="AB113" s="305"/>
      <c r="AC113" s="305"/>
      <c r="AD113" s="305"/>
      <c r="AE113" s="305"/>
    </row>
    <row r="114" spans="1:31" ht="52.5">
      <c r="A114" s="301">
        <f t="shared" si="1"/>
        <v>113</v>
      </c>
      <c r="B114" s="293" t="s">
        <v>445</v>
      </c>
      <c r="C114" s="293" t="s">
        <v>445</v>
      </c>
      <c r="D114" s="302" t="s">
        <v>53</v>
      </c>
      <c r="E114" s="304" t="s">
        <v>632</v>
      </c>
      <c r="F114" s="296">
        <v>0</v>
      </c>
      <c r="G114" s="296">
        <v>0</v>
      </c>
      <c r="H114" s="296">
        <v>0</v>
      </c>
      <c r="I114" s="303">
        <v>0</v>
      </c>
      <c r="J114" s="303">
        <v>0</v>
      </c>
      <c r="K114" s="297" t="s">
        <v>498</v>
      </c>
      <c r="L114" s="296">
        <v>0</v>
      </c>
      <c r="M114" s="296">
        <v>0</v>
      </c>
      <c r="N114" s="296">
        <v>2000000</v>
      </c>
      <c r="O114" s="298">
        <v>0</v>
      </c>
      <c r="P114" s="299"/>
      <c r="Q114" s="304"/>
      <c r="R114" s="305"/>
      <c r="S114" s="303"/>
      <c r="T114" s="303"/>
      <c r="U114" s="303"/>
      <c r="V114" s="305" t="s">
        <v>53</v>
      </c>
      <c r="W114" s="305" t="s">
        <v>303</v>
      </c>
      <c r="X114" s="305"/>
      <c r="Y114" s="305"/>
      <c r="Z114" s="305"/>
      <c r="AA114" s="304" t="s">
        <v>387</v>
      </c>
      <c r="AB114" s="305"/>
      <c r="AC114" s="305"/>
      <c r="AD114" s="305"/>
      <c r="AE114" s="305"/>
    </row>
    <row r="115" spans="1:31" ht="52.5">
      <c r="A115" s="301">
        <f t="shared" si="1"/>
        <v>114</v>
      </c>
      <c r="B115" s="293" t="s">
        <v>446</v>
      </c>
      <c r="C115" s="293" t="s">
        <v>446</v>
      </c>
      <c r="D115" s="302" t="s">
        <v>53</v>
      </c>
      <c r="E115" s="304" t="s">
        <v>632</v>
      </c>
      <c r="F115" s="296">
        <v>0</v>
      </c>
      <c r="G115" s="296">
        <v>0</v>
      </c>
      <c r="H115" s="296">
        <v>0</v>
      </c>
      <c r="I115" s="296">
        <v>0</v>
      </c>
      <c r="J115" s="296">
        <v>0</v>
      </c>
      <c r="K115" s="306">
        <v>0</v>
      </c>
      <c r="L115" s="296">
        <v>0</v>
      </c>
      <c r="M115" s="296">
        <v>0</v>
      </c>
      <c r="N115" s="296">
        <v>200000</v>
      </c>
      <c r="O115" s="298">
        <v>0</v>
      </c>
      <c r="P115" s="299"/>
      <c r="Q115" s="304"/>
      <c r="R115" s="305"/>
      <c r="S115" s="303"/>
      <c r="T115" s="303"/>
      <c r="U115" s="303"/>
      <c r="V115" s="305" t="s">
        <v>53</v>
      </c>
      <c r="W115" s="305" t="s">
        <v>303</v>
      </c>
      <c r="X115" s="305"/>
      <c r="Y115" s="305"/>
      <c r="Z115" s="305"/>
      <c r="AA115" s="305" t="s">
        <v>387</v>
      </c>
      <c r="AB115" s="305"/>
      <c r="AC115" s="305"/>
      <c r="AD115" s="305"/>
      <c r="AE115" s="305"/>
    </row>
    <row r="116" spans="1:31" ht="52.5">
      <c r="A116" s="301">
        <f t="shared" si="1"/>
        <v>115</v>
      </c>
      <c r="B116" s="293" t="s">
        <v>447</v>
      </c>
      <c r="C116" s="293" t="s">
        <v>447</v>
      </c>
      <c r="D116" s="302" t="s">
        <v>53</v>
      </c>
      <c r="E116" s="304" t="s">
        <v>632</v>
      </c>
      <c r="F116" s="296">
        <v>0</v>
      </c>
      <c r="G116" s="296">
        <v>0</v>
      </c>
      <c r="H116" s="296">
        <v>0</v>
      </c>
      <c r="I116" s="303">
        <v>0</v>
      </c>
      <c r="J116" s="303">
        <v>0</v>
      </c>
      <c r="K116" s="297" t="s">
        <v>498</v>
      </c>
      <c r="L116" s="296">
        <v>0</v>
      </c>
      <c r="M116" s="296">
        <v>0</v>
      </c>
      <c r="N116" s="296">
        <v>1500000</v>
      </c>
      <c r="O116" s="298">
        <v>0</v>
      </c>
      <c r="P116" s="299"/>
      <c r="Q116" s="304"/>
      <c r="R116" s="305"/>
      <c r="S116" s="303"/>
      <c r="T116" s="303"/>
      <c r="U116" s="303"/>
      <c r="V116" s="305" t="s">
        <v>53</v>
      </c>
      <c r="W116" s="305" t="s">
        <v>303</v>
      </c>
      <c r="X116" s="305"/>
      <c r="Y116" s="305"/>
      <c r="Z116" s="305"/>
      <c r="AA116" s="304" t="s">
        <v>387</v>
      </c>
      <c r="AB116" s="305"/>
      <c r="AC116" s="305"/>
      <c r="AD116" s="305"/>
      <c r="AE116" s="305"/>
    </row>
    <row r="117" spans="1:31" ht="52.5">
      <c r="A117" s="301">
        <f t="shared" si="1"/>
        <v>116</v>
      </c>
      <c r="B117" s="293" t="s">
        <v>469</v>
      </c>
      <c r="C117" s="293" t="s">
        <v>469</v>
      </c>
      <c r="D117" s="302" t="s">
        <v>53</v>
      </c>
      <c r="E117" s="304" t="s">
        <v>341</v>
      </c>
      <c r="F117" s="296">
        <v>0</v>
      </c>
      <c r="G117" s="296">
        <v>0</v>
      </c>
      <c r="H117" s="296">
        <v>150000</v>
      </c>
      <c r="I117" s="303">
        <v>0</v>
      </c>
      <c r="J117" s="303">
        <v>0</v>
      </c>
      <c r="K117" s="297" t="s">
        <v>498</v>
      </c>
      <c r="L117" s="296">
        <v>0</v>
      </c>
      <c r="M117" s="296">
        <v>250000</v>
      </c>
      <c r="N117" s="296">
        <v>250000</v>
      </c>
      <c r="O117" s="298">
        <v>0</v>
      </c>
      <c r="P117" s="299"/>
      <c r="Q117" s="304"/>
      <c r="R117" s="305"/>
      <c r="S117" s="303"/>
      <c r="T117" s="303"/>
      <c r="U117" s="303"/>
      <c r="V117" s="305" t="s">
        <v>53</v>
      </c>
      <c r="W117" s="305" t="s">
        <v>303</v>
      </c>
      <c r="X117" s="305"/>
      <c r="Y117" s="305"/>
      <c r="Z117" s="305"/>
      <c r="AA117" s="304" t="s">
        <v>316</v>
      </c>
      <c r="AB117" s="305"/>
      <c r="AC117" s="305"/>
      <c r="AD117" s="305"/>
      <c r="AE117" s="305"/>
    </row>
    <row r="118" spans="1:31" ht="52.5">
      <c r="A118" s="301">
        <f t="shared" si="1"/>
        <v>117</v>
      </c>
      <c r="B118" s="293" t="s">
        <v>448</v>
      </c>
      <c r="C118" s="293" t="s">
        <v>448</v>
      </c>
      <c r="D118" s="302" t="s">
        <v>53</v>
      </c>
      <c r="E118" s="304" t="s">
        <v>634</v>
      </c>
      <c r="F118" s="296">
        <v>0</v>
      </c>
      <c r="G118" s="296">
        <v>0</v>
      </c>
      <c r="H118" s="296">
        <v>0</v>
      </c>
      <c r="I118" s="303">
        <v>0</v>
      </c>
      <c r="J118" s="303">
        <v>0</v>
      </c>
      <c r="K118" s="297" t="s">
        <v>498</v>
      </c>
      <c r="L118" s="296">
        <v>0</v>
      </c>
      <c r="M118" s="296">
        <v>28300</v>
      </c>
      <c r="N118" s="296">
        <v>0</v>
      </c>
      <c r="O118" s="298">
        <v>0</v>
      </c>
      <c r="P118" s="299"/>
      <c r="Q118" s="304"/>
      <c r="R118" s="305"/>
      <c r="S118" s="303"/>
      <c r="T118" s="303"/>
      <c r="U118" s="303"/>
      <c r="V118" s="305" t="s">
        <v>53</v>
      </c>
      <c r="W118" s="305" t="s">
        <v>303</v>
      </c>
      <c r="X118" s="305"/>
      <c r="Y118" s="305"/>
      <c r="Z118" s="305"/>
      <c r="AA118" s="304" t="s">
        <v>387</v>
      </c>
      <c r="AB118" s="305"/>
      <c r="AC118" s="305"/>
      <c r="AD118" s="305"/>
      <c r="AE118" s="305"/>
    </row>
    <row r="119" spans="1:31" ht="52.5">
      <c r="A119" s="301">
        <f t="shared" si="1"/>
        <v>118</v>
      </c>
      <c r="B119" s="293" t="s">
        <v>449</v>
      </c>
      <c r="C119" s="293" t="s">
        <v>449</v>
      </c>
      <c r="D119" s="302" t="s">
        <v>53</v>
      </c>
      <c r="E119" s="304" t="s">
        <v>634</v>
      </c>
      <c r="F119" s="296">
        <v>0</v>
      </c>
      <c r="G119" s="296">
        <v>0</v>
      </c>
      <c r="H119" s="296">
        <v>0</v>
      </c>
      <c r="I119" s="303">
        <v>0</v>
      </c>
      <c r="J119" s="303">
        <v>0</v>
      </c>
      <c r="K119" s="297" t="s">
        <v>498</v>
      </c>
      <c r="L119" s="296">
        <v>0</v>
      </c>
      <c r="M119" s="296">
        <v>245000</v>
      </c>
      <c r="N119" s="296">
        <v>0</v>
      </c>
      <c r="O119" s="298">
        <v>0</v>
      </c>
      <c r="P119" s="299"/>
      <c r="Q119" s="304"/>
      <c r="R119" s="305"/>
      <c r="S119" s="303"/>
      <c r="T119" s="303"/>
      <c r="U119" s="303"/>
      <c r="V119" s="305" t="s">
        <v>53</v>
      </c>
      <c r="W119" s="305" t="s">
        <v>303</v>
      </c>
      <c r="X119" s="305"/>
      <c r="Y119" s="305"/>
      <c r="Z119" s="305"/>
      <c r="AA119" s="304" t="s">
        <v>387</v>
      </c>
      <c r="AB119" s="305"/>
      <c r="AC119" s="305"/>
      <c r="AD119" s="305"/>
      <c r="AE119" s="305"/>
    </row>
    <row r="120" spans="1:31" ht="52.5">
      <c r="A120" s="301">
        <f t="shared" si="1"/>
        <v>119</v>
      </c>
      <c r="B120" s="293" t="s">
        <v>450</v>
      </c>
      <c r="C120" s="293" t="s">
        <v>450</v>
      </c>
      <c r="D120" s="302" t="s">
        <v>53</v>
      </c>
      <c r="E120" s="304" t="s">
        <v>634</v>
      </c>
      <c r="F120" s="296">
        <v>0</v>
      </c>
      <c r="G120" s="296">
        <v>0</v>
      </c>
      <c r="H120" s="296">
        <v>0</v>
      </c>
      <c r="I120" s="303">
        <v>0</v>
      </c>
      <c r="J120" s="303">
        <v>0</v>
      </c>
      <c r="K120" s="297" t="s">
        <v>498</v>
      </c>
      <c r="L120" s="296">
        <v>0</v>
      </c>
      <c r="M120" s="296">
        <v>0</v>
      </c>
      <c r="N120" s="296">
        <v>200000</v>
      </c>
      <c r="O120" s="298">
        <v>0</v>
      </c>
      <c r="P120" s="299"/>
      <c r="Q120" s="304"/>
      <c r="R120" s="305"/>
      <c r="S120" s="303"/>
      <c r="T120" s="303"/>
      <c r="U120" s="303"/>
      <c r="V120" s="305" t="s">
        <v>53</v>
      </c>
      <c r="W120" s="305" t="s">
        <v>303</v>
      </c>
      <c r="X120" s="305"/>
      <c r="Y120" s="305"/>
      <c r="Z120" s="305"/>
      <c r="AA120" s="304" t="s">
        <v>387</v>
      </c>
      <c r="AB120" s="305"/>
      <c r="AC120" s="305"/>
      <c r="AD120" s="305"/>
      <c r="AE120" s="305"/>
    </row>
    <row r="121" spans="1:31" ht="52.5">
      <c r="A121" s="301">
        <f t="shared" si="1"/>
        <v>120</v>
      </c>
      <c r="B121" s="293" t="s">
        <v>451</v>
      </c>
      <c r="C121" s="293" t="s">
        <v>451</v>
      </c>
      <c r="D121" s="302" t="s">
        <v>53</v>
      </c>
      <c r="E121" s="304" t="s">
        <v>634</v>
      </c>
      <c r="F121" s="296">
        <v>0</v>
      </c>
      <c r="G121" s="296">
        <v>0</v>
      </c>
      <c r="H121" s="296">
        <v>0</v>
      </c>
      <c r="I121" s="303">
        <v>0</v>
      </c>
      <c r="J121" s="303">
        <v>0</v>
      </c>
      <c r="K121" s="297" t="s">
        <v>498</v>
      </c>
      <c r="L121" s="296">
        <v>0</v>
      </c>
      <c r="M121" s="296">
        <v>0</v>
      </c>
      <c r="N121" s="296">
        <v>0</v>
      </c>
      <c r="O121" s="298">
        <v>0</v>
      </c>
      <c r="P121" s="299"/>
      <c r="Q121" s="304"/>
      <c r="R121" s="305"/>
      <c r="S121" s="303"/>
      <c r="T121" s="303"/>
      <c r="U121" s="303"/>
      <c r="V121" s="305" t="s">
        <v>53</v>
      </c>
      <c r="W121" s="305" t="s">
        <v>303</v>
      </c>
      <c r="X121" s="305"/>
      <c r="Y121" s="305"/>
      <c r="Z121" s="305"/>
      <c r="AA121" s="304" t="s">
        <v>387</v>
      </c>
      <c r="AB121" s="305"/>
      <c r="AC121" s="305"/>
      <c r="AD121" s="305"/>
      <c r="AE121" s="305"/>
    </row>
    <row r="122" spans="1:31" ht="52.5">
      <c r="A122" s="301">
        <f t="shared" si="1"/>
        <v>121</v>
      </c>
      <c r="B122" s="293" t="s">
        <v>452</v>
      </c>
      <c r="C122" s="293" t="s">
        <v>452</v>
      </c>
      <c r="D122" s="302" t="s">
        <v>53</v>
      </c>
      <c r="E122" s="304" t="s">
        <v>634</v>
      </c>
      <c r="F122" s="296">
        <v>0</v>
      </c>
      <c r="G122" s="296">
        <v>0</v>
      </c>
      <c r="H122" s="296">
        <v>0</v>
      </c>
      <c r="I122" s="303">
        <v>0</v>
      </c>
      <c r="J122" s="303">
        <v>0</v>
      </c>
      <c r="K122" s="297" t="s">
        <v>498</v>
      </c>
      <c r="L122" s="296">
        <v>0</v>
      </c>
      <c r="M122" s="296">
        <v>0</v>
      </c>
      <c r="N122" s="296">
        <v>0</v>
      </c>
      <c r="O122" s="298">
        <v>195000</v>
      </c>
      <c r="P122" s="299"/>
      <c r="Q122" s="304"/>
      <c r="R122" s="305"/>
      <c r="S122" s="303"/>
      <c r="T122" s="303"/>
      <c r="U122" s="303"/>
      <c r="V122" s="305" t="s">
        <v>53</v>
      </c>
      <c r="W122" s="305" t="s">
        <v>303</v>
      </c>
      <c r="X122" s="305"/>
      <c r="Y122" s="305"/>
      <c r="Z122" s="305"/>
      <c r="AA122" s="304" t="s">
        <v>387</v>
      </c>
      <c r="AB122" s="305"/>
      <c r="AC122" s="305"/>
      <c r="AD122" s="305"/>
      <c r="AE122" s="305"/>
    </row>
    <row r="123" spans="1:31" ht="52.5">
      <c r="A123" s="301">
        <f t="shared" si="1"/>
        <v>122</v>
      </c>
      <c r="B123" s="293" t="s">
        <v>453</v>
      </c>
      <c r="C123" s="293" t="s">
        <v>453</v>
      </c>
      <c r="D123" s="302" t="s">
        <v>53</v>
      </c>
      <c r="E123" s="304" t="s">
        <v>634</v>
      </c>
      <c r="F123" s="296">
        <v>0</v>
      </c>
      <c r="G123" s="296">
        <v>0</v>
      </c>
      <c r="H123" s="296">
        <v>0</v>
      </c>
      <c r="I123" s="303">
        <v>0</v>
      </c>
      <c r="J123" s="303">
        <v>0</v>
      </c>
      <c r="K123" s="297"/>
      <c r="L123" s="296">
        <v>0</v>
      </c>
      <c r="M123" s="296">
        <v>35000</v>
      </c>
      <c r="N123" s="296">
        <v>0</v>
      </c>
      <c r="O123" s="298">
        <v>0</v>
      </c>
      <c r="P123" s="299"/>
      <c r="Q123" s="304"/>
      <c r="R123" s="305"/>
      <c r="S123" s="303"/>
      <c r="T123" s="303"/>
      <c r="U123" s="303"/>
      <c r="V123" s="305" t="s">
        <v>53</v>
      </c>
      <c r="W123" s="305" t="s">
        <v>303</v>
      </c>
      <c r="X123" s="305"/>
      <c r="Y123" s="305"/>
      <c r="Z123" s="305"/>
      <c r="AA123" s="304" t="s">
        <v>387</v>
      </c>
      <c r="AB123" s="305"/>
      <c r="AC123" s="305"/>
      <c r="AD123" s="305"/>
      <c r="AE123" s="305"/>
    </row>
    <row r="124" spans="1:31" ht="52.5">
      <c r="A124" s="301">
        <f t="shared" si="1"/>
        <v>123</v>
      </c>
      <c r="B124" s="293" t="s">
        <v>454</v>
      </c>
      <c r="C124" s="293" t="s">
        <v>454</v>
      </c>
      <c r="D124" s="302" t="s">
        <v>53</v>
      </c>
      <c r="E124" s="304" t="s">
        <v>633</v>
      </c>
      <c r="F124" s="296">
        <v>0</v>
      </c>
      <c r="G124" s="296">
        <v>0</v>
      </c>
      <c r="H124" s="296">
        <v>0</v>
      </c>
      <c r="I124" s="303">
        <v>0</v>
      </c>
      <c r="J124" s="303">
        <v>0</v>
      </c>
      <c r="K124" s="297"/>
      <c r="L124" s="296">
        <v>0</v>
      </c>
      <c r="M124" s="296">
        <v>155000</v>
      </c>
      <c r="N124" s="296">
        <v>0</v>
      </c>
      <c r="O124" s="298">
        <v>0</v>
      </c>
      <c r="P124" s="299"/>
      <c r="Q124" s="304"/>
      <c r="R124" s="305"/>
      <c r="S124" s="303"/>
      <c r="T124" s="303"/>
      <c r="U124" s="303"/>
      <c r="V124" s="305" t="s">
        <v>53</v>
      </c>
      <c r="W124" s="305" t="s">
        <v>303</v>
      </c>
      <c r="X124" s="305"/>
      <c r="Y124" s="305"/>
      <c r="Z124" s="305"/>
      <c r="AA124" s="304" t="s">
        <v>387</v>
      </c>
      <c r="AB124" s="305"/>
      <c r="AC124" s="305"/>
      <c r="AD124" s="305"/>
      <c r="AE124" s="305"/>
    </row>
    <row r="125" spans="1:31" ht="52.5">
      <c r="A125" s="301">
        <f t="shared" si="1"/>
        <v>124</v>
      </c>
      <c r="B125" s="293" t="s">
        <v>455</v>
      </c>
      <c r="C125" s="293" t="s">
        <v>455</v>
      </c>
      <c r="D125" s="302" t="s">
        <v>53</v>
      </c>
      <c r="E125" s="304" t="s">
        <v>633</v>
      </c>
      <c r="F125" s="296">
        <v>0</v>
      </c>
      <c r="G125" s="296">
        <v>0</v>
      </c>
      <c r="H125" s="296">
        <v>0</v>
      </c>
      <c r="I125" s="303">
        <v>0</v>
      </c>
      <c r="J125" s="303">
        <v>0</v>
      </c>
      <c r="K125" s="297" t="s">
        <v>498</v>
      </c>
      <c r="L125" s="296">
        <v>0</v>
      </c>
      <c r="M125" s="296">
        <v>0</v>
      </c>
      <c r="N125" s="296">
        <v>160000</v>
      </c>
      <c r="O125" s="298">
        <v>0</v>
      </c>
      <c r="P125" s="299"/>
      <c r="Q125" s="304"/>
      <c r="R125" s="305"/>
      <c r="S125" s="303"/>
      <c r="T125" s="303"/>
      <c r="U125" s="303"/>
      <c r="V125" s="305" t="s">
        <v>53</v>
      </c>
      <c r="W125" s="305" t="s">
        <v>303</v>
      </c>
      <c r="X125" s="305"/>
      <c r="Y125" s="305"/>
      <c r="Z125" s="305"/>
      <c r="AA125" s="304" t="s">
        <v>387</v>
      </c>
      <c r="AB125" s="305"/>
      <c r="AC125" s="305"/>
      <c r="AD125" s="305"/>
      <c r="AE125" s="305"/>
    </row>
    <row r="126" spans="1:31" ht="52.5">
      <c r="A126" s="301">
        <f t="shared" si="1"/>
        <v>125</v>
      </c>
      <c r="B126" s="293" t="s">
        <v>455</v>
      </c>
      <c r="C126" s="293" t="s">
        <v>455</v>
      </c>
      <c r="D126" s="302" t="s">
        <v>53</v>
      </c>
      <c r="E126" s="304" t="s">
        <v>633</v>
      </c>
      <c r="F126" s="296">
        <v>0</v>
      </c>
      <c r="G126" s="296">
        <v>0</v>
      </c>
      <c r="H126" s="296">
        <v>0</v>
      </c>
      <c r="I126" s="303">
        <v>0</v>
      </c>
      <c r="J126" s="303">
        <v>0</v>
      </c>
      <c r="K126" s="297" t="s">
        <v>498</v>
      </c>
      <c r="L126" s="296">
        <v>0</v>
      </c>
      <c r="M126" s="296">
        <v>0</v>
      </c>
      <c r="N126" s="296">
        <v>0</v>
      </c>
      <c r="O126" s="298">
        <v>165000</v>
      </c>
      <c r="P126" s="299"/>
      <c r="Q126" s="304"/>
      <c r="R126" s="305"/>
      <c r="S126" s="303"/>
      <c r="T126" s="303"/>
      <c r="U126" s="303"/>
      <c r="V126" s="305" t="s">
        <v>53</v>
      </c>
      <c r="W126" s="305" t="s">
        <v>303</v>
      </c>
      <c r="X126" s="305"/>
      <c r="Y126" s="305"/>
      <c r="Z126" s="305"/>
      <c r="AA126" s="304" t="s">
        <v>387</v>
      </c>
      <c r="AB126" s="305"/>
      <c r="AC126" s="305"/>
      <c r="AD126" s="305"/>
      <c r="AE126" s="305"/>
    </row>
    <row r="127" spans="1:31" ht="52.5">
      <c r="A127" s="301">
        <f t="shared" si="1"/>
        <v>126</v>
      </c>
      <c r="B127" s="293" t="s">
        <v>394</v>
      </c>
      <c r="C127" s="293" t="s">
        <v>394</v>
      </c>
      <c r="D127" s="302" t="s">
        <v>335</v>
      </c>
      <c r="E127" s="304" t="s">
        <v>342</v>
      </c>
      <c r="F127" s="303">
        <v>950000</v>
      </c>
      <c r="G127" s="303">
        <v>881136.89</v>
      </c>
      <c r="H127" s="296">
        <v>0</v>
      </c>
      <c r="I127" s="296">
        <v>184245.19</v>
      </c>
      <c r="J127" s="296">
        <v>184245.19</v>
      </c>
      <c r="K127" s="306">
        <v>1</v>
      </c>
      <c r="L127" s="296">
        <v>0</v>
      </c>
      <c r="M127" s="296">
        <v>0</v>
      </c>
      <c r="N127" s="296">
        <v>0</v>
      </c>
      <c r="O127" s="298">
        <v>0</v>
      </c>
      <c r="P127" s="299" t="s">
        <v>353</v>
      </c>
      <c r="Q127" s="304" t="s">
        <v>355</v>
      </c>
      <c r="R127" s="305"/>
      <c r="S127" s="303">
        <v>147462</v>
      </c>
      <c r="T127" s="303">
        <v>147462</v>
      </c>
      <c r="U127" s="303">
        <v>147462</v>
      </c>
      <c r="V127" s="305" t="s">
        <v>53</v>
      </c>
      <c r="W127" s="305" t="s">
        <v>303</v>
      </c>
      <c r="X127" s="305"/>
      <c r="Y127" s="305"/>
      <c r="Z127" s="305"/>
      <c r="AA127" s="305" t="s">
        <v>316</v>
      </c>
      <c r="AB127" s="305"/>
      <c r="AC127" s="305"/>
      <c r="AD127" s="305"/>
      <c r="AE127" s="305" t="s">
        <v>365</v>
      </c>
    </row>
    <row r="128" spans="1:31" ht="52.5">
      <c r="A128" s="301">
        <f t="shared" si="1"/>
        <v>127</v>
      </c>
      <c r="B128" s="302" t="s">
        <v>315</v>
      </c>
      <c r="C128" s="314" t="s">
        <v>315</v>
      </c>
      <c r="D128" s="302" t="s">
        <v>334</v>
      </c>
      <c r="E128" s="304" t="s">
        <v>642</v>
      </c>
      <c r="F128" s="329">
        <v>0</v>
      </c>
      <c r="G128" s="329">
        <v>0</v>
      </c>
      <c r="H128" s="329">
        <v>0</v>
      </c>
      <c r="I128" s="296">
        <v>0</v>
      </c>
      <c r="J128" s="296">
        <v>0</v>
      </c>
      <c r="K128" s="330" t="s">
        <v>498</v>
      </c>
      <c r="L128" s="329">
        <v>406500</v>
      </c>
      <c r="M128" s="296">
        <v>0</v>
      </c>
      <c r="N128" s="296">
        <v>0</v>
      </c>
      <c r="O128" s="298">
        <v>0</v>
      </c>
      <c r="P128" s="302" t="s">
        <v>352</v>
      </c>
      <c r="Q128" s="304" t="s">
        <v>643</v>
      </c>
      <c r="R128" s="302"/>
      <c r="S128" s="331">
        <v>174623</v>
      </c>
      <c r="T128" s="303">
        <v>0</v>
      </c>
      <c r="U128" s="332">
        <v>174623</v>
      </c>
      <c r="V128" s="305" t="s">
        <v>53</v>
      </c>
      <c r="W128" s="305" t="s">
        <v>303</v>
      </c>
      <c r="X128" s="314"/>
      <c r="Y128" s="302"/>
      <c r="Z128" s="302"/>
      <c r="AA128" s="305" t="s">
        <v>316</v>
      </c>
      <c r="AB128" s="302"/>
      <c r="AC128" s="302"/>
      <c r="AD128" s="302"/>
      <c r="AE128" s="293"/>
    </row>
    <row r="129" spans="1:31" ht="53.25" thickBot="1">
      <c r="A129" s="301">
        <f t="shared" si="1"/>
        <v>128</v>
      </c>
      <c r="B129" s="302" t="s">
        <v>395</v>
      </c>
      <c r="C129" s="302" t="s">
        <v>396</v>
      </c>
      <c r="D129" s="302" t="s">
        <v>335</v>
      </c>
      <c r="E129" s="304" t="s">
        <v>642</v>
      </c>
      <c r="F129" s="329">
        <v>0</v>
      </c>
      <c r="G129" s="329">
        <v>0</v>
      </c>
      <c r="H129" s="329">
        <v>500000</v>
      </c>
      <c r="I129" s="296">
        <v>0</v>
      </c>
      <c r="J129" s="296">
        <v>465930.64</v>
      </c>
      <c r="K129" s="330">
        <v>0</v>
      </c>
      <c r="L129" s="296">
        <v>0</v>
      </c>
      <c r="M129" s="296">
        <v>0</v>
      </c>
      <c r="N129" s="296">
        <v>0</v>
      </c>
      <c r="O129" s="298">
        <v>0</v>
      </c>
      <c r="P129" s="302"/>
      <c r="Q129" s="302"/>
      <c r="R129" s="302"/>
      <c r="S129" s="331">
        <v>0</v>
      </c>
      <c r="T129" s="303">
        <v>0</v>
      </c>
      <c r="U129" s="332">
        <v>0</v>
      </c>
      <c r="V129" s="305" t="s">
        <v>53</v>
      </c>
      <c r="W129" s="305" t="s">
        <v>303</v>
      </c>
      <c r="X129" s="314"/>
      <c r="Y129" s="302"/>
      <c r="Z129" s="302"/>
      <c r="AA129" s="305" t="s">
        <v>316</v>
      </c>
      <c r="AB129" s="302"/>
      <c r="AC129" s="302"/>
      <c r="AD129" s="302"/>
      <c r="AE129" s="302"/>
    </row>
    <row r="130" spans="1:31" ht="27" thickBot="1">
      <c r="A130" s="337" t="s">
        <v>310</v>
      </c>
      <c r="B130" s="338"/>
      <c r="C130" s="338"/>
      <c r="D130" s="338"/>
      <c r="E130" s="339"/>
      <c r="F130" s="333">
        <f>SUM(F2:F129)</f>
        <v>9944300</v>
      </c>
      <c r="G130" s="333">
        <f>SUM(G2:G129)</f>
        <v>4962885.09</v>
      </c>
      <c r="H130" s="333">
        <f>SUM(H2:H129)</f>
        <v>9724492</v>
      </c>
      <c r="I130" s="333">
        <f>SUM(I2:I129)</f>
        <v>2822855.96</v>
      </c>
      <c r="J130" s="333">
        <f>SUM(J2:J129)</f>
        <v>4774502.71</v>
      </c>
      <c r="K130" s="333" t="s">
        <v>498</v>
      </c>
      <c r="L130" s="333">
        <f>SUM(L2:L129)</f>
        <v>22260486.920000002</v>
      </c>
      <c r="M130" s="333">
        <f>SUM(M2:M129)</f>
        <v>66439031.5</v>
      </c>
      <c r="N130" s="333">
        <f>SUM(N2:N129)</f>
        <v>19390595.199999999</v>
      </c>
      <c r="O130" s="333">
        <f>SUM(O2:O129)</f>
        <v>3981000</v>
      </c>
      <c r="P130" s="334"/>
      <c r="Q130" s="334"/>
      <c r="R130" s="334"/>
      <c r="S130" s="333">
        <f>SUM(S2:S129)</f>
        <v>6710840.1100000003</v>
      </c>
      <c r="T130" s="333">
        <f>SUM(T2:T129)</f>
        <v>1182308.1099999999</v>
      </c>
      <c r="U130" s="333">
        <f>SUM(U2:U129)</f>
        <v>5863754.1099999994</v>
      </c>
      <c r="V130" s="334"/>
      <c r="W130" s="334"/>
      <c r="X130" s="334"/>
      <c r="Y130" s="334"/>
      <c r="Z130" s="334"/>
      <c r="AA130" s="334"/>
      <c r="AB130" s="334"/>
      <c r="AC130" s="334"/>
      <c r="AD130" s="334"/>
      <c r="AE130" s="335"/>
    </row>
    <row r="132" spans="1:31">
      <c r="E132" t="s">
        <v>486</v>
      </c>
      <c r="F132" s="242">
        <f>'Fire 2025-2030'!F12+'Golf 2025-2030'!F15+'IT 2025-2030'!F7+'Open Space 2025-2030'!F6+'Park and Rec-Pool 2025-2030'!F42+'Patterson Farm 2025-2030'!F7+'Planning and Zoning 2025-2030'!F3+'Police 2025-2030'!F13+'Public Works 2025-2030'!F48+'Storms Sewer Drains 2025-2030'!F5</f>
        <v>9944300</v>
      </c>
      <c r="G132" s="242">
        <f>'Fire 2025-2030'!G12+'Golf 2025-2030'!G15+'IT 2025-2030'!G7+'Open Space 2025-2030'!G6+'Park and Rec-Pool 2025-2030'!G42+'Patterson Farm 2025-2030'!G7+'Planning and Zoning 2025-2030'!G3+'Police 2025-2030'!G13+'Public Works 2025-2030'!G48+'Storms Sewer Drains 2025-2030'!G5</f>
        <v>4962885.09</v>
      </c>
      <c r="H132" s="242">
        <f>'Fire 2025-2030'!H12+'Golf 2025-2030'!H15+'IT 2025-2030'!H7+'Open Space 2025-2030'!H6+'Park and Rec-Pool 2025-2030'!H42+'Patterson Farm 2025-2030'!H7+'Planning and Zoning 2025-2030'!H3+'Police 2025-2030'!H13+'Public Works 2025-2030'!H48+'Storms Sewer Drains 2025-2030'!H5</f>
        <v>9724492</v>
      </c>
      <c r="I132" s="242">
        <f>'Fire 2025-2030'!I12+'Golf 2025-2030'!I15+'IT 2025-2030'!I7+'Open Space 2025-2030'!I6+'Park and Rec-Pool 2025-2030'!I42+'Patterson Farm 2025-2030'!I7+'Planning and Zoning 2025-2030'!I3+'Police 2025-2030'!I13+'Public Works 2025-2030'!I48+'Storms Sewer Drains 2025-2030'!I5</f>
        <v>2822855.9599999995</v>
      </c>
      <c r="J132" s="242">
        <f>'Fire 2025-2030'!J12+'Golf 2025-2030'!J15+'IT 2025-2030'!J7+'Open Space 2025-2030'!J6+'Park and Rec-Pool 2025-2030'!J42+'Patterson Farm 2025-2030'!J7+'Planning and Zoning 2025-2030'!J3+'Police 2025-2030'!J13+'Public Works 2025-2030'!J48+'Storms Sewer Drains 2025-2030'!J5</f>
        <v>4774502.71</v>
      </c>
      <c r="K132"/>
      <c r="L132" s="242">
        <f>'Fire 2025-2030'!K12+'Golf 2025-2030'!K15+'IT 2025-2030'!K7+'Open Space 2025-2030'!K6+'Park and Rec-Pool 2025-2030'!K42+'Patterson Farm 2025-2030'!K7+'Planning and Zoning 2025-2030'!K3+'Police 2025-2030'!K13+'Public Works 2025-2030'!K48+'Storms Sewer Drains 2025-2030'!K5</f>
        <v>22260486.920000002</v>
      </c>
      <c r="M132" s="242">
        <f>'Fire 2025-2030'!L12+'Golf 2025-2030'!L15+'IT 2025-2030'!L7+'Open Space 2025-2030'!L6+'Park and Rec-Pool 2025-2030'!L42+'Patterson Farm 2025-2030'!L7+'Planning and Zoning 2025-2030'!L3+'Police 2025-2030'!L13+'Public Works 2025-2030'!L48+'Storms Sewer Drains 2025-2030'!L5</f>
        <v>66439031.5</v>
      </c>
      <c r="N132" s="242">
        <f>'Fire 2025-2030'!M12+'Golf 2025-2030'!M15+'IT 2025-2030'!M7+'Open Space 2025-2030'!M6+'Park and Rec-Pool 2025-2030'!M42+'Patterson Farm 2025-2030'!M7+'Planning and Zoning 2025-2030'!M3+'Police 2025-2030'!M13+'Public Works 2025-2030'!M48+'Storms Sewer Drains 2025-2030'!M5</f>
        <v>19390595.199999999</v>
      </c>
      <c r="O132" s="242">
        <f>'Fire 2025-2030'!N12+'Golf 2025-2030'!N15+'IT 2025-2030'!N7+'Open Space 2025-2030'!N6+'Park and Rec-Pool 2025-2030'!N42+'Patterson Farm 2025-2030'!N7+'Planning and Zoning 2025-2030'!N3+'Police 2025-2030'!N13+'Public Works 2025-2030'!N48+'Storms Sewer Drains 2025-2030'!N5</f>
        <v>3981000</v>
      </c>
      <c r="P132" s="242"/>
      <c r="Q132" s="242"/>
      <c r="R132" s="242"/>
      <c r="S132" s="242">
        <f>'Fire 2025-2030'!R12+'Golf 2025-2030'!R15+'IT 2025-2030'!R7+'Park and Rec-Pool 2025-2030'!R42+'Patterson Farm 2025-2030'!R7+'Planning and Zoning 2025-2030'!R3+'Police 2025-2030'!R13+'Public Works 2025-2030'!R48+'Storms Sewer Drains 2025-2030'!R5</f>
        <v>6710840.1100000003</v>
      </c>
      <c r="T132" s="242">
        <f>'Fire 2025-2030'!S12+'Golf 2025-2030'!S15+'IT 2025-2030'!S7+'Park and Rec-Pool 2025-2030'!S42+'Patterson Farm 2025-2030'!S7+'Planning and Zoning 2025-2030'!S3+'Police 2025-2030'!S13+'Public Works 2025-2030'!S48+'Storms Sewer Drains 2025-2030'!S5</f>
        <v>1182308.1099999999</v>
      </c>
      <c r="U132" s="242">
        <f>'Fire 2025-2030'!T12+'Golf 2025-2030'!T15+'IT 2025-2030'!T7+'Park and Rec-Pool 2025-2030'!T42+'Patterson Farm 2025-2030'!T7+'Planning and Zoning 2025-2030'!T3+'Police 2025-2030'!T13+'Public Works 2025-2030'!T48+'Storms Sewer Drains 2025-2030'!T5</f>
        <v>5863754.1100000003</v>
      </c>
      <c r="V132" s="242"/>
    </row>
    <row r="133" spans="1:31">
      <c r="E133" t="s">
        <v>485</v>
      </c>
      <c r="F133" s="242">
        <f>F130-F132</f>
        <v>0</v>
      </c>
      <c r="G133" s="242">
        <f t="shared" ref="G133:L133" si="2">G130-G132</f>
        <v>0</v>
      </c>
      <c r="H133" s="242">
        <f t="shared" si="2"/>
        <v>0</v>
      </c>
      <c r="I133" s="242">
        <f t="shared" si="2"/>
        <v>0</v>
      </c>
      <c r="J133" s="242">
        <f t="shared" si="2"/>
        <v>0</v>
      </c>
      <c r="K133" s="273"/>
      <c r="L133" s="242">
        <f t="shared" si="2"/>
        <v>0</v>
      </c>
      <c r="M133" s="242">
        <f>M130-M132</f>
        <v>0</v>
      </c>
      <c r="N133" s="242">
        <f>N130-N132</f>
        <v>0</v>
      </c>
      <c r="O133" s="242">
        <f>O130-O132</f>
        <v>0</v>
      </c>
      <c r="S133" s="242">
        <f>S130-S132</f>
        <v>0</v>
      </c>
      <c r="T133" s="242">
        <f>T130-T132</f>
        <v>0</v>
      </c>
      <c r="U133" s="242">
        <f>U130-U132</f>
        <v>0</v>
      </c>
    </row>
    <row r="366" spans="10:10">
      <c r="J366" s="209"/>
    </row>
  </sheetData>
  <autoFilter ref="A1:EP363" xr:uid="{291E8056-B483-44B1-89B8-5621DBC0A690}"/>
  <mergeCells count="1">
    <mergeCell ref="A130:E130"/>
  </mergeCells>
  <pageMargins left="0.7" right="0.7" top="0.75" bottom="0.75" header="0.3" footer="0.3"/>
  <pageSetup paperSize="3" scale="33" fitToHeight="0" orientation="landscape" r:id="rId1"/>
  <headerFooter>
    <oddHeader>&amp;C&amp;"-,Bold"&amp;26 2025-2030 Draft Master Capital Plan 
10-02-2026</oddHead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7D9F6-5D51-4F7D-B767-9D17DF5549DB}">
  <sheetPr>
    <tabColor rgb="FFFF0000"/>
  </sheetPr>
  <dimension ref="A1:EI12"/>
  <sheetViews>
    <sheetView workbookViewId="0"/>
  </sheetViews>
  <sheetFormatPr defaultRowHeight="15"/>
  <cols>
    <col min="1" max="1" width="2" bestFit="1" customWidth="1"/>
    <col min="2" max="2" width="13.140625" bestFit="1" customWidth="1"/>
    <col min="3" max="3" width="11.140625" bestFit="1" customWidth="1"/>
    <col min="4" max="4" width="15.7109375" bestFit="1" customWidth="1"/>
    <col min="5" max="5" width="8.140625" bestFit="1" customWidth="1"/>
    <col min="6" max="6" width="7.28515625" bestFit="1" customWidth="1"/>
    <col min="7" max="7" width="7.42578125" bestFit="1" customWidth="1"/>
    <col min="8" max="8" width="7.28515625" bestFit="1" customWidth="1"/>
    <col min="9" max="9" width="11" customWidth="1"/>
    <col min="10" max="10" width="11.85546875" customWidth="1"/>
    <col min="11" max="13" width="7.28515625" bestFit="1" customWidth="1"/>
    <col min="14" max="14" width="7.28515625" customWidth="1"/>
    <col min="15" max="15" width="11.7109375" bestFit="1" customWidth="1"/>
    <col min="16" max="16" width="8.140625" bestFit="1" customWidth="1"/>
    <col min="17" max="17" width="11.85546875" bestFit="1" customWidth="1"/>
    <col min="18" max="18" width="7.28515625" bestFit="1" customWidth="1"/>
    <col min="19" max="19" width="7.42578125" bestFit="1" customWidth="1"/>
    <col min="20" max="20" width="9.5703125" bestFit="1" customWidth="1"/>
    <col min="21" max="21" width="11.7109375" bestFit="1" customWidth="1"/>
    <col min="22" max="22" width="15.7109375" bestFit="1" customWidth="1"/>
    <col min="23" max="23" width="14.28515625" bestFit="1" customWidth="1"/>
    <col min="24" max="24" width="10.5703125" bestFit="1" customWidth="1"/>
    <col min="25" max="25" width="13.140625" bestFit="1" customWidth="1"/>
    <col min="26" max="26" width="8.140625" bestFit="1" customWidth="1"/>
    <col min="27" max="27" width="14.5703125" bestFit="1" customWidth="1"/>
    <col min="28" max="28" width="24.140625" bestFit="1" customWidth="1"/>
    <col min="29" max="29" width="19" bestFit="1" customWidth="1"/>
    <col min="30" max="30" width="6.28515625" bestFit="1" customWidth="1"/>
  </cols>
  <sheetData>
    <row r="1" spans="1:139" ht="44.25" customHeight="1" thickBot="1">
      <c r="A1" s="246" t="s">
        <v>0</v>
      </c>
      <c r="B1" s="246" t="s">
        <v>1</v>
      </c>
      <c r="C1" s="238" t="s">
        <v>2</v>
      </c>
      <c r="D1" s="246" t="s">
        <v>4</v>
      </c>
      <c r="E1" s="238" t="s">
        <v>336</v>
      </c>
      <c r="F1" s="240" t="s">
        <v>346</v>
      </c>
      <c r="G1" s="240" t="s">
        <v>347</v>
      </c>
      <c r="H1" s="240" t="s">
        <v>499</v>
      </c>
      <c r="I1" s="240" t="s">
        <v>494</v>
      </c>
      <c r="J1" s="240" t="s">
        <v>503</v>
      </c>
      <c r="K1" s="240" t="s">
        <v>500</v>
      </c>
      <c r="L1" s="240" t="s">
        <v>501</v>
      </c>
      <c r="M1" s="240" t="s">
        <v>502</v>
      </c>
      <c r="N1" s="240" t="s">
        <v>504</v>
      </c>
      <c r="O1" s="247" t="s">
        <v>5</v>
      </c>
      <c r="P1" s="238" t="s">
        <v>336</v>
      </c>
      <c r="Q1" s="247" t="s">
        <v>6</v>
      </c>
      <c r="R1" s="240" t="s">
        <v>356</v>
      </c>
      <c r="S1" s="240" t="s">
        <v>357</v>
      </c>
      <c r="T1" s="240" t="s">
        <v>358</v>
      </c>
      <c r="U1" s="246" t="s">
        <v>8</v>
      </c>
      <c r="V1" s="246" t="s">
        <v>9</v>
      </c>
      <c r="W1" s="246" t="s">
        <v>10</v>
      </c>
      <c r="X1" s="246" t="s">
        <v>11</v>
      </c>
      <c r="Y1" s="246" t="s">
        <v>12</v>
      </c>
      <c r="Z1" s="238" t="s">
        <v>13</v>
      </c>
      <c r="AA1" s="246" t="s">
        <v>14</v>
      </c>
      <c r="AB1" s="238" t="s">
        <v>15</v>
      </c>
      <c r="AC1" s="238" t="s">
        <v>16</v>
      </c>
      <c r="AD1" s="238" t="s">
        <v>17</v>
      </c>
    </row>
    <row r="2" spans="1:139" s="153" customFormat="1">
      <c r="A2" s="231"/>
      <c r="B2" s="230"/>
      <c r="C2" s="230"/>
      <c r="D2" s="230"/>
      <c r="E2" s="239"/>
      <c r="F2" s="241"/>
      <c r="G2" s="241"/>
      <c r="H2" s="235"/>
      <c r="I2" s="235"/>
      <c r="J2" s="235"/>
      <c r="K2" s="235"/>
      <c r="L2" s="235"/>
      <c r="M2" s="235"/>
      <c r="N2" s="235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49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</row>
    <row r="3" spans="1:139" s="153" customFormat="1">
      <c r="A3" s="142"/>
      <c r="B3" s="230"/>
      <c r="C3" s="230"/>
      <c r="D3" s="144"/>
      <c r="E3" s="239"/>
      <c r="F3" s="150"/>
      <c r="G3" s="150"/>
      <c r="H3" s="154"/>
      <c r="I3" s="154"/>
      <c r="J3" s="154"/>
      <c r="K3" s="154"/>
      <c r="L3" s="154"/>
      <c r="M3" s="154"/>
      <c r="N3" s="154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</row>
    <row r="4" spans="1:139" s="153" customFormat="1">
      <c r="A4" s="142"/>
      <c r="B4" s="230"/>
      <c r="C4" s="230"/>
      <c r="D4" s="144"/>
      <c r="E4" s="239"/>
      <c r="F4" s="150"/>
      <c r="G4" s="150"/>
      <c r="H4" s="154"/>
      <c r="I4" s="154"/>
      <c r="J4" s="154"/>
      <c r="K4" s="154"/>
      <c r="L4" s="154"/>
      <c r="M4" s="154"/>
      <c r="N4" s="15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</row>
    <row r="5" spans="1:139" s="153" customFormat="1">
      <c r="A5" s="142"/>
      <c r="B5" s="230"/>
      <c r="C5" s="230"/>
      <c r="D5" s="144"/>
      <c r="E5" s="239"/>
      <c r="F5" s="150"/>
      <c r="G5" s="150"/>
      <c r="H5" s="154"/>
      <c r="I5" s="154"/>
      <c r="J5" s="154"/>
      <c r="K5" s="154"/>
      <c r="L5" s="154"/>
      <c r="M5" s="154"/>
      <c r="N5" s="154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</row>
    <row r="6" spans="1:139" s="153" customFormat="1">
      <c r="A6" s="142"/>
      <c r="B6" s="230"/>
      <c r="C6" s="230"/>
      <c r="D6" s="144"/>
      <c r="E6" s="239"/>
      <c r="F6" s="150"/>
      <c r="G6" s="150"/>
      <c r="H6" s="154"/>
      <c r="I6" s="154"/>
      <c r="J6" s="154"/>
      <c r="K6" s="154"/>
      <c r="L6" s="154"/>
      <c r="M6" s="154"/>
      <c r="N6" s="154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</row>
    <row r="7" spans="1:139" s="153" customFormat="1">
      <c r="A7" s="142"/>
      <c r="B7" s="230"/>
      <c r="C7" s="230"/>
      <c r="D7" s="144"/>
      <c r="E7" s="239"/>
      <c r="F7" s="150"/>
      <c r="G7" s="150"/>
      <c r="H7" s="154"/>
      <c r="I7" s="154"/>
      <c r="J7" s="154"/>
      <c r="K7" s="154"/>
      <c r="L7" s="154"/>
      <c r="M7" s="154"/>
      <c r="N7" s="154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</row>
    <row r="8" spans="1:139" s="153" customFormat="1">
      <c r="A8" s="142"/>
      <c r="B8" s="230"/>
      <c r="C8" s="230"/>
      <c r="D8" s="144"/>
      <c r="E8" s="239"/>
      <c r="F8" s="150"/>
      <c r="G8" s="150"/>
      <c r="H8" s="154"/>
      <c r="I8" s="154"/>
      <c r="J8" s="154"/>
      <c r="K8" s="154"/>
      <c r="L8" s="154"/>
      <c r="M8" s="154"/>
      <c r="N8" s="154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</row>
    <row r="9" spans="1:139" s="153" customFormat="1">
      <c r="A9" s="142"/>
      <c r="B9" s="230"/>
      <c r="C9" s="230"/>
      <c r="D9" s="144"/>
      <c r="E9" s="239"/>
      <c r="F9" s="150"/>
      <c r="G9" s="150"/>
      <c r="H9" s="154"/>
      <c r="I9" s="154"/>
      <c r="J9" s="154"/>
      <c r="K9" s="154"/>
      <c r="L9" s="154"/>
      <c r="M9" s="154"/>
      <c r="N9" s="154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</row>
    <row r="10" spans="1:139" s="153" customFormat="1">
      <c r="A10" s="142"/>
      <c r="B10" s="230"/>
      <c r="C10" s="230"/>
      <c r="D10" s="144"/>
      <c r="E10" s="239"/>
      <c r="F10" s="150"/>
      <c r="G10" s="150"/>
      <c r="H10" s="154"/>
      <c r="I10" s="154"/>
      <c r="J10" s="154"/>
      <c r="K10" s="154"/>
      <c r="L10" s="154"/>
      <c r="M10" s="154"/>
      <c r="N10" s="154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</row>
    <row r="11" spans="1:139" s="153" customFormat="1" ht="15.75" thickBot="1">
      <c r="A11" s="142"/>
      <c r="B11" s="230"/>
      <c r="C11" s="230"/>
      <c r="D11" s="144"/>
      <c r="E11" s="239"/>
      <c r="F11" s="150"/>
      <c r="G11" s="150"/>
      <c r="H11" s="154"/>
      <c r="I11" s="154"/>
      <c r="J11" s="154"/>
      <c r="K11" s="154"/>
      <c r="L11" s="154"/>
      <c r="M11" s="154"/>
      <c r="N11" s="154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</row>
    <row r="12" spans="1:139" ht="15.75" thickBot="1">
      <c r="A12" s="346" t="s">
        <v>310</v>
      </c>
      <c r="B12" s="347"/>
      <c r="C12" s="347"/>
      <c r="D12" s="347"/>
      <c r="E12" s="348"/>
      <c r="F12" s="244">
        <f>SUM(F2:F11)</f>
        <v>0</v>
      </c>
      <c r="G12" s="244">
        <f t="shared" ref="G12:N12" si="0">SUM(G2:G11)</f>
        <v>0</v>
      </c>
      <c r="H12" s="244">
        <f t="shared" si="0"/>
        <v>0</v>
      </c>
      <c r="I12" s="244">
        <f t="shared" si="0"/>
        <v>0</v>
      </c>
      <c r="J12" s="244">
        <f t="shared" si="0"/>
        <v>0</v>
      </c>
      <c r="K12" s="244">
        <f t="shared" si="0"/>
        <v>0</v>
      </c>
      <c r="L12" s="244">
        <f t="shared" si="0"/>
        <v>0</v>
      </c>
      <c r="M12" s="244">
        <f t="shared" si="0"/>
        <v>0</v>
      </c>
      <c r="N12" s="244">
        <f t="shared" si="0"/>
        <v>0</v>
      </c>
      <c r="O12" s="250"/>
      <c r="P12" s="250"/>
      <c r="Q12" s="250"/>
      <c r="R12" s="244">
        <f>SUM(R2:R11)</f>
        <v>0</v>
      </c>
      <c r="S12" s="244">
        <f>SUM(S2:S11)</f>
        <v>0</v>
      </c>
      <c r="T12" s="244">
        <f>SUM(T2:T11)</f>
        <v>0</v>
      </c>
      <c r="U12" s="250"/>
      <c r="V12" s="250"/>
      <c r="W12" s="250"/>
      <c r="X12" s="250"/>
      <c r="Y12" s="250"/>
      <c r="Z12" s="250"/>
      <c r="AA12" s="250"/>
      <c r="AB12" s="250"/>
      <c r="AC12" s="250"/>
      <c r="AD12" s="251"/>
    </row>
  </sheetData>
  <mergeCells count="1">
    <mergeCell ref="A12:E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41ABA-FBC6-478D-BC3D-CDF52A1EC85F}">
  <sheetPr>
    <tabColor theme="5" tint="0.39997558519241921"/>
  </sheetPr>
  <dimension ref="A1:AD15"/>
  <sheetViews>
    <sheetView workbookViewId="0"/>
  </sheetViews>
  <sheetFormatPr defaultRowHeight="15"/>
  <cols>
    <col min="2" max="2" width="36" bestFit="1" customWidth="1"/>
    <col min="3" max="3" width="41.42578125" bestFit="1" customWidth="1"/>
    <col min="4" max="4" width="15.7109375" bestFit="1" customWidth="1"/>
    <col min="5" max="5" width="15.7109375" customWidth="1"/>
    <col min="6" max="6" width="12.5703125" bestFit="1" customWidth="1"/>
    <col min="7" max="7" width="12.5703125" customWidth="1"/>
    <col min="8" max="8" width="10" bestFit="1" customWidth="1"/>
    <col min="9" max="9" width="11.85546875" bestFit="1" customWidth="1"/>
    <col min="10" max="10" width="11.85546875" customWidth="1"/>
    <col min="11" max="11" width="10" bestFit="1" customWidth="1"/>
    <col min="12" max="12" width="11.7109375" bestFit="1" customWidth="1"/>
    <col min="13" max="13" width="10" bestFit="1" customWidth="1"/>
    <col min="14" max="14" width="11.5703125" bestFit="1" customWidth="1"/>
    <col min="15" max="15" width="11.7109375" bestFit="1" customWidth="1"/>
    <col min="16" max="16" width="11.85546875" bestFit="1" customWidth="1"/>
    <col min="17" max="19" width="11.85546875" customWidth="1"/>
    <col min="20" max="20" width="11.7109375" bestFit="1" customWidth="1"/>
    <col min="21" max="21" width="15.7109375" bestFit="1" customWidth="1"/>
    <col min="22" max="22" width="17.5703125" bestFit="1" customWidth="1"/>
    <col min="23" max="23" width="10.5703125" bestFit="1" customWidth="1"/>
    <col min="24" max="24" width="13.140625" bestFit="1" customWidth="1"/>
    <col min="25" max="25" width="22.28515625" bestFit="1" customWidth="1"/>
    <col min="26" max="26" width="14.5703125" bestFit="1" customWidth="1"/>
    <col min="27" max="27" width="24.140625" bestFit="1" customWidth="1"/>
    <col min="28" max="28" width="19" bestFit="1" customWidth="1"/>
    <col min="29" max="29" width="11.5703125" bestFit="1" customWidth="1"/>
  </cols>
  <sheetData>
    <row r="1" spans="1:30" ht="44.25" customHeight="1" thickBot="1">
      <c r="A1" s="246" t="s">
        <v>0</v>
      </c>
      <c r="B1" s="246" t="s">
        <v>1</v>
      </c>
      <c r="C1" s="238" t="s">
        <v>2</v>
      </c>
      <c r="D1" s="246" t="s">
        <v>4</v>
      </c>
      <c r="E1" s="246" t="s">
        <v>336</v>
      </c>
      <c r="F1" s="240" t="s">
        <v>346</v>
      </c>
      <c r="G1" s="240" t="s">
        <v>347</v>
      </c>
      <c r="H1" s="240" t="s">
        <v>499</v>
      </c>
      <c r="I1" s="240" t="s">
        <v>494</v>
      </c>
      <c r="J1" s="240" t="s">
        <v>503</v>
      </c>
      <c r="K1" s="240" t="s">
        <v>500</v>
      </c>
      <c r="L1" s="240" t="s">
        <v>501</v>
      </c>
      <c r="M1" s="240" t="s">
        <v>502</v>
      </c>
      <c r="N1" s="240" t="s">
        <v>504</v>
      </c>
      <c r="O1" s="247" t="s">
        <v>5</v>
      </c>
      <c r="P1" s="238" t="s">
        <v>336</v>
      </c>
      <c r="Q1" s="247" t="s">
        <v>6</v>
      </c>
      <c r="R1" s="240" t="s">
        <v>356</v>
      </c>
      <c r="S1" s="240" t="s">
        <v>357</v>
      </c>
      <c r="T1" s="255" t="s">
        <v>358</v>
      </c>
      <c r="U1" s="256" t="s">
        <v>8</v>
      </c>
      <c r="V1" s="256" t="s">
        <v>9</v>
      </c>
      <c r="W1" s="256" t="s">
        <v>10</v>
      </c>
      <c r="X1" s="256" t="s">
        <v>11</v>
      </c>
      <c r="Y1" s="256" t="s">
        <v>12</v>
      </c>
      <c r="Z1" s="254" t="s">
        <v>13</v>
      </c>
      <c r="AA1" s="256" t="s">
        <v>14</v>
      </c>
      <c r="AB1" s="254" t="s">
        <v>15</v>
      </c>
      <c r="AC1" s="254" t="s">
        <v>16</v>
      </c>
      <c r="AD1" s="257" t="s">
        <v>17</v>
      </c>
    </row>
    <row r="2" spans="1:30">
      <c r="A2" s="231">
        <v>1</v>
      </c>
      <c r="B2" s="230" t="s">
        <v>300</v>
      </c>
      <c r="C2" s="230" t="s">
        <v>300</v>
      </c>
      <c r="D2" s="230" t="s">
        <v>301</v>
      </c>
      <c r="E2" s="239" t="s">
        <v>337</v>
      </c>
      <c r="F2" s="241">
        <v>150000</v>
      </c>
      <c r="G2" s="241">
        <v>157959.64000000001</v>
      </c>
      <c r="H2" s="154">
        <v>0</v>
      </c>
      <c r="I2" s="154">
        <v>0</v>
      </c>
      <c r="J2" s="154">
        <v>0</v>
      </c>
      <c r="K2" s="154">
        <v>0</v>
      </c>
      <c r="L2" s="154">
        <v>0</v>
      </c>
      <c r="M2" s="154">
        <v>0</v>
      </c>
      <c r="N2" s="154">
        <v>0</v>
      </c>
      <c r="O2" s="236"/>
      <c r="P2" s="239"/>
      <c r="Q2" s="233"/>
      <c r="R2" s="241"/>
      <c r="S2" s="241"/>
      <c r="T2" s="241"/>
      <c r="U2" s="230" t="s">
        <v>301</v>
      </c>
      <c r="V2" s="233" t="s">
        <v>309</v>
      </c>
      <c r="W2" s="233"/>
      <c r="X2" s="233"/>
      <c r="Y2" s="233" t="s">
        <v>23</v>
      </c>
      <c r="Z2" s="233" t="s">
        <v>302</v>
      </c>
      <c r="AA2" s="233"/>
      <c r="AB2" s="233"/>
      <c r="AC2" s="233"/>
      <c r="AD2" s="233"/>
    </row>
    <row r="3" spans="1:30">
      <c r="A3" s="142">
        <f>A2+1</f>
        <v>2</v>
      </c>
      <c r="B3" s="230" t="s">
        <v>487</v>
      </c>
      <c r="C3" s="230" t="s">
        <v>487</v>
      </c>
      <c r="D3" s="144" t="s">
        <v>301</v>
      </c>
      <c r="E3" s="239" t="s">
        <v>337</v>
      </c>
      <c r="F3" s="150">
        <v>0</v>
      </c>
      <c r="G3" s="150">
        <v>8700</v>
      </c>
      <c r="H3" s="154">
        <v>0</v>
      </c>
      <c r="I3" s="154">
        <v>0</v>
      </c>
      <c r="J3" s="154">
        <v>0</v>
      </c>
      <c r="K3" s="154">
        <v>0</v>
      </c>
      <c r="L3" s="154">
        <v>0</v>
      </c>
      <c r="M3" s="154">
        <v>0</v>
      </c>
      <c r="N3" s="154">
        <v>0</v>
      </c>
      <c r="O3" s="236"/>
      <c r="P3" s="146"/>
      <c r="Q3" s="153"/>
      <c r="R3" s="150"/>
      <c r="S3" s="150"/>
      <c r="T3" s="150"/>
      <c r="U3" s="230" t="s">
        <v>301</v>
      </c>
      <c r="V3" s="233" t="s">
        <v>309</v>
      </c>
      <c r="W3" s="153"/>
      <c r="X3" s="153"/>
      <c r="Y3" s="153" t="s">
        <v>23</v>
      </c>
      <c r="Z3" s="153" t="s">
        <v>302</v>
      </c>
      <c r="AA3" s="153"/>
      <c r="AB3" s="153"/>
      <c r="AC3" s="153"/>
      <c r="AD3" s="153"/>
    </row>
    <row r="4" spans="1:30">
      <c r="A4" s="142">
        <f t="shared" ref="A4:A14" si="0">A3+1</f>
        <v>3</v>
      </c>
      <c r="B4" s="230" t="s">
        <v>371</v>
      </c>
      <c r="C4" s="230" t="s">
        <v>371</v>
      </c>
      <c r="D4" s="144" t="s">
        <v>301</v>
      </c>
      <c r="E4" s="239" t="s">
        <v>337</v>
      </c>
      <c r="F4" s="150">
        <v>25000</v>
      </c>
      <c r="G4" s="150">
        <v>16784.64</v>
      </c>
      <c r="H4" s="154">
        <v>0</v>
      </c>
      <c r="I4" s="154">
        <v>0</v>
      </c>
      <c r="J4" s="154">
        <v>0</v>
      </c>
      <c r="K4" s="154">
        <v>0</v>
      </c>
      <c r="L4" s="154">
        <v>0</v>
      </c>
      <c r="M4" s="154">
        <v>0</v>
      </c>
      <c r="N4" s="154">
        <v>0</v>
      </c>
      <c r="O4" s="236"/>
      <c r="P4" s="146"/>
      <c r="Q4" s="153"/>
      <c r="R4" s="150"/>
      <c r="S4" s="150"/>
      <c r="T4" s="150"/>
      <c r="U4" s="230" t="s">
        <v>301</v>
      </c>
      <c r="V4" s="233" t="s">
        <v>309</v>
      </c>
      <c r="W4" s="153"/>
      <c r="X4" s="153"/>
      <c r="Y4" s="153" t="s">
        <v>23</v>
      </c>
      <c r="Z4" s="153" t="s">
        <v>302</v>
      </c>
      <c r="AA4" s="153"/>
      <c r="AB4" s="153"/>
      <c r="AC4" s="153"/>
      <c r="AD4" s="153"/>
    </row>
    <row r="5" spans="1:30">
      <c r="A5" s="142">
        <f t="shared" si="0"/>
        <v>4</v>
      </c>
      <c r="B5" s="230" t="s">
        <v>622</v>
      </c>
      <c r="C5" s="230" t="s">
        <v>622</v>
      </c>
      <c r="D5" s="144" t="s">
        <v>301</v>
      </c>
      <c r="E5" s="239" t="s">
        <v>337</v>
      </c>
      <c r="F5" s="150">
        <v>0</v>
      </c>
      <c r="G5" s="150">
        <v>10028.81</v>
      </c>
      <c r="H5" s="154">
        <v>0</v>
      </c>
      <c r="I5" s="154">
        <v>17218</v>
      </c>
      <c r="J5" s="154">
        <v>17218</v>
      </c>
      <c r="K5" s="154">
        <v>0</v>
      </c>
      <c r="L5" s="154">
        <v>0</v>
      </c>
      <c r="M5" s="154">
        <v>0</v>
      </c>
      <c r="N5" s="154">
        <v>0</v>
      </c>
      <c r="O5" s="236"/>
      <c r="P5" s="146"/>
      <c r="Q5" s="153"/>
      <c r="R5" s="150"/>
      <c r="S5" s="150"/>
      <c r="T5" s="150"/>
      <c r="U5" s="230" t="s">
        <v>301</v>
      </c>
      <c r="V5" s="233" t="s">
        <v>309</v>
      </c>
      <c r="W5" s="153"/>
      <c r="X5" s="153"/>
      <c r="Y5" s="153" t="s">
        <v>551</v>
      </c>
      <c r="Z5" s="153"/>
      <c r="AA5" s="153"/>
      <c r="AB5" s="153"/>
      <c r="AC5" s="153"/>
      <c r="AD5" s="153"/>
    </row>
    <row r="6" spans="1:30">
      <c r="A6" s="142">
        <f t="shared" si="0"/>
        <v>5</v>
      </c>
      <c r="B6" s="230" t="s">
        <v>372</v>
      </c>
      <c r="C6" s="230" t="s">
        <v>374</v>
      </c>
      <c r="D6" s="144" t="s">
        <v>301</v>
      </c>
      <c r="E6" s="239" t="s">
        <v>337</v>
      </c>
      <c r="F6" s="150">
        <v>0</v>
      </c>
      <c r="G6" s="150">
        <v>0</v>
      </c>
      <c r="H6" s="154">
        <v>0</v>
      </c>
      <c r="I6" s="154">
        <v>0</v>
      </c>
      <c r="J6" s="154">
        <v>0</v>
      </c>
      <c r="K6" s="154">
        <v>0</v>
      </c>
      <c r="M6" s="154">
        <v>0</v>
      </c>
      <c r="N6" s="154">
        <v>1000000</v>
      </c>
      <c r="O6" s="236"/>
      <c r="P6" s="146"/>
      <c r="Q6" s="153"/>
      <c r="R6" s="150"/>
      <c r="S6" s="150"/>
      <c r="T6" s="150"/>
      <c r="U6" s="230" t="s">
        <v>301</v>
      </c>
      <c r="V6" s="233" t="s">
        <v>309</v>
      </c>
      <c r="W6" s="153"/>
      <c r="X6" s="153"/>
      <c r="Y6" s="153" t="s">
        <v>23</v>
      </c>
      <c r="Z6" s="153" t="s">
        <v>471</v>
      </c>
      <c r="AA6" s="153"/>
      <c r="AB6" s="153"/>
      <c r="AC6" s="153"/>
      <c r="AD6" s="153"/>
    </row>
    <row r="7" spans="1:30">
      <c r="A7" s="142">
        <f t="shared" si="0"/>
        <v>6</v>
      </c>
      <c r="B7" s="230" t="s">
        <v>373</v>
      </c>
      <c r="C7" s="230" t="s">
        <v>375</v>
      </c>
      <c r="D7" s="144" t="s">
        <v>301</v>
      </c>
      <c r="E7" s="239" t="s">
        <v>337</v>
      </c>
      <c r="F7" s="232">
        <v>0</v>
      </c>
      <c r="G7" s="150">
        <v>0</v>
      </c>
      <c r="H7" s="154">
        <v>100000</v>
      </c>
      <c r="I7" s="154">
        <v>0</v>
      </c>
      <c r="J7" s="154">
        <v>0</v>
      </c>
      <c r="K7" s="154">
        <v>150000</v>
      </c>
      <c r="L7" s="154">
        <v>0</v>
      </c>
      <c r="M7" s="154">
        <v>0</v>
      </c>
      <c r="N7" s="154">
        <v>0</v>
      </c>
      <c r="O7" s="236"/>
      <c r="P7" s="146"/>
      <c r="Q7" s="153"/>
      <c r="R7" s="232"/>
      <c r="S7" s="232"/>
      <c r="T7" s="232"/>
      <c r="U7" s="230" t="s">
        <v>301</v>
      </c>
      <c r="V7" s="233" t="s">
        <v>309</v>
      </c>
      <c r="W7" s="153"/>
      <c r="X7" s="153"/>
      <c r="Y7" s="153" t="s">
        <v>26</v>
      </c>
      <c r="Z7" s="153" t="s">
        <v>471</v>
      </c>
      <c r="AA7" s="153"/>
      <c r="AB7" s="153"/>
      <c r="AC7" s="153"/>
      <c r="AD7" s="153"/>
    </row>
    <row r="8" spans="1:30">
      <c r="A8" s="142">
        <f t="shared" si="0"/>
        <v>7</v>
      </c>
      <c r="B8" s="230" t="s">
        <v>376</v>
      </c>
      <c r="C8" s="230" t="s">
        <v>377</v>
      </c>
      <c r="D8" s="144" t="s">
        <v>301</v>
      </c>
      <c r="E8" s="239" t="s">
        <v>337</v>
      </c>
      <c r="F8" s="232">
        <v>0</v>
      </c>
      <c r="G8" s="150">
        <v>0</v>
      </c>
      <c r="H8" s="154">
        <v>150000</v>
      </c>
      <c r="I8" s="154">
        <v>6407</v>
      </c>
      <c r="J8" s="154">
        <v>170334.62</v>
      </c>
      <c r="K8" s="154">
        <v>0</v>
      </c>
      <c r="L8" s="154">
        <v>0</v>
      </c>
      <c r="M8" s="154">
        <v>0</v>
      </c>
      <c r="N8" s="154">
        <v>0</v>
      </c>
      <c r="O8" s="236"/>
      <c r="P8" s="146"/>
      <c r="Q8" s="153"/>
      <c r="R8" s="232"/>
      <c r="S8" s="232"/>
      <c r="T8" s="232"/>
      <c r="U8" s="230" t="s">
        <v>301</v>
      </c>
      <c r="V8" s="233" t="s">
        <v>309</v>
      </c>
      <c r="W8" s="153"/>
      <c r="X8" s="153"/>
      <c r="Y8" s="153" t="s">
        <v>23</v>
      </c>
      <c r="Z8" s="153" t="s">
        <v>471</v>
      </c>
      <c r="AA8" s="153"/>
      <c r="AB8" s="153"/>
      <c r="AC8" s="153"/>
      <c r="AD8" s="153"/>
    </row>
    <row r="9" spans="1:30">
      <c r="A9" s="142">
        <f t="shared" si="0"/>
        <v>8</v>
      </c>
      <c r="B9" s="230" t="s">
        <v>371</v>
      </c>
      <c r="C9" s="230" t="s">
        <v>378</v>
      </c>
      <c r="D9" s="144" t="s">
        <v>301</v>
      </c>
      <c r="E9" s="239" t="s">
        <v>337</v>
      </c>
      <c r="F9" s="232">
        <v>0</v>
      </c>
      <c r="G9" s="150">
        <v>0</v>
      </c>
      <c r="H9" s="154">
        <v>0</v>
      </c>
      <c r="I9" s="154">
        <v>0</v>
      </c>
      <c r="J9" s="154">
        <v>0</v>
      </c>
      <c r="L9" s="154">
        <v>0</v>
      </c>
      <c r="M9" s="154">
        <v>100000</v>
      </c>
      <c r="N9" s="154">
        <v>0</v>
      </c>
      <c r="O9" s="236"/>
      <c r="P9" s="146"/>
      <c r="Q9" s="153"/>
      <c r="R9" s="232"/>
      <c r="S9" s="232"/>
      <c r="T9" s="232"/>
      <c r="U9" s="230" t="s">
        <v>301</v>
      </c>
      <c r="V9" s="233" t="s">
        <v>309</v>
      </c>
      <c r="W9" s="153"/>
      <c r="X9" s="153"/>
      <c r="Y9" s="153"/>
      <c r="Z9" s="153" t="s">
        <v>387</v>
      </c>
      <c r="AA9" s="153"/>
      <c r="AB9" s="153"/>
      <c r="AC9" s="153"/>
      <c r="AD9" s="153"/>
    </row>
    <row r="10" spans="1:30">
      <c r="A10" s="142">
        <f t="shared" si="0"/>
        <v>9</v>
      </c>
      <c r="B10" s="230" t="s">
        <v>379</v>
      </c>
      <c r="C10" s="230" t="s">
        <v>380</v>
      </c>
      <c r="D10" s="144" t="s">
        <v>301</v>
      </c>
      <c r="E10" s="239" t="s">
        <v>337</v>
      </c>
      <c r="F10" s="232">
        <v>0</v>
      </c>
      <c r="G10" s="150">
        <v>0</v>
      </c>
      <c r="H10" s="154">
        <v>0</v>
      </c>
      <c r="I10" s="154">
        <v>0</v>
      </c>
      <c r="J10" s="154">
        <v>0</v>
      </c>
      <c r="K10" s="154">
        <v>0</v>
      </c>
      <c r="L10" s="154">
        <v>75000</v>
      </c>
      <c r="M10" s="154">
        <v>75000</v>
      </c>
      <c r="N10" s="154">
        <v>0</v>
      </c>
      <c r="O10" s="236"/>
      <c r="P10" s="146"/>
      <c r="Q10" s="245"/>
      <c r="R10" s="232"/>
      <c r="S10" s="232"/>
      <c r="T10" s="232"/>
      <c r="U10" s="230" t="s">
        <v>301</v>
      </c>
      <c r="V10" s="233" t="s">
        <v>309</v>
      </c>
      <c r="W10" s="153"/>
      <c r="X10" s="153"/>
      <c r="Y10" s="153"/>
      <c r="Z10" s="153" t="s">
        <v>387</v>
      </c>
      <c r="AA10" s="153"/>
      <c r="AB10" s="153"/>
      <c r="AC10" s="153"/>
      <c r="AD10" s="253"/>
    </row>
    <row r="11" spans="1:30">
      <c r="A11" s="142">
        <f t="shared" si="0"/>
        <v>10</v>
      </c>
      <c r="B11" s="230" t="s">
        <v>381</v>
      </c>
      <c r="C11" s="230" t="s">
        <v>382</v>
      </c>
      <c r="D11" s="144" t="s">
        <v>301</v>
      </c>
      <c r="E11" s="239" t="s">
        <v>337</v>
      </c>
      <c r="F11" s="232">
        <v>0</v>
      </c>
      <c r="G11" s="150">
        <v>0</v>
      </c>
      <c r="H11" s="154">
        <v>0</v>
      </c>
      <c r="I11" s="154">
        <v>0</v>
      </c>
      <c r="J11" s="154">
        <v>0</v>
      </c>
      <c r="K11" s="154">
        <v>0</v>
      </c>
      <c r="L11" s="154">
        <v>200000</v>
      </c>
      <c r="M11" s="154">
        <v>0</v>
      </c>
      <c r="N11" s="154">
        <v>0</v>
      </c>
      <c r="O11" s="236"/>
      <c r="P11" s="146"/>
      <c r="Q11" s="153"/>
      <c r="R11" s="232"/>
      <c r="S11" s="232"/>
      <c r="T11" s="232"/>
      <c r="U11" s="230" t="s">
        <v>301</v>
      </c>
      <c r="V11" s="233" t="s">
        <v>309</v>
      </c>
      <c r="W11" s="153"/>
      <c r="X11" s="153"/>
      <c r="Y11" s="153"/>
      <c r="Z11" s="153" t="s">
        <v>387</v>
      </c>
      <c r="AA11" s="153"/>
      <c r="AB11" s="153"/>
      <c r="AC11" s="153"/>
      <c r="AD11" s="153"/>
    </row>
    <row r="12" spans="1:30">
      <c r="A12" s="142">
        <f t="shared" si="0"/>
        <v>11</v>
      </c>
      <c r="B12" s="230" t="s">
        <v>550</v>
      </c>
      <c r="C12" s="230" t="s">
        <v>566</v>
      </c>
      <c r="D12" s="144" t="s">
        <v>301</v>
      </c>
      <c r="E12" s="239" t="s">
        <v>337</v>
      </c>
      <c r="F12" s="232">
        <v>0</v>
      </c>
      <c r="G12" s="150">
        <v>0</v>
      </c>
      <c r="H12" s="154">
        <v>0</v>
      </c>
      <c r="I12" s="154">
        <v>0</v>
      </c>
      <c r="J12" s="154">
        <v>0</v>
      </c>
      <c r="K12" s="154">
        <v>250000</v>
      </c>
      <c r="L12" s="154">
        <v>0</v>
      </c>
      <c r="M12" s="154">
        <v>0</v>
      </c>
      <c r="N12" s="154">
        <v>0</v>
      </c>
      <c r="O12" s="236"/>
      <c r="P12" s="146"/>
      <c r="Q12" s="153"/>
      <c r="R12" s="232"/>
      <c r="S12" s="150"/>
      <c r="T12" s="232"/>
      <c r="U12" s="230" t="s">
        <v>301</v>
      </c>
      <c r="V12" s="233" t="s">
        <v>309</v>
      </c>
      <c r="W12" s="153"/>
      <c r="X12" s="153"/>
      <c r="Y12" s="153"/>
      <c r="Z12" s="153" t="s">
        <v>387</v>
      </c>
      <c r="AA12" s="153"/>
      <c r="AB12" s="153"/>
      <c r="AC12" s="153"/>
      <c r="AD12" s="153"/>
    </row>
    <row r="13" spans="1:30">
      <c r="A13" s="142">
        <f t="shared" si="0"/>
        <v>12</v>
      </c>
      <c r="B13" s="230" t="s">
        <v>567</v>
      </c>
      <c r="C13" s="230" t="s">
        <v>568</v>
      </c>
      <c r="D13" s="144" t="s">
        <v>301</v>
      </c>
      <c r="E13" s="239" t="s">
        <v>337</v>
      </c>
      <c r="F13" s="232">
        <v>0</v>
      </c>
      <c r="G13" s="150">
        <v>0</v>
      </c>
      <c r="H13" s="154">
        <v>0</v>
      </c>
      <c r="I13" s="154"/>
      <c r="J13" s="154"/>
      <c r="K13" s="154">
        <v>80000</v>
      </c>
      <c r="L13" s="154">
        <v>100000</v>
      </c>
      <c r="M13" s="154">
        <v>50000</v>
      </c>
      <c r="N13" s="154">
        <v>0</v>
      </c>
      <c r="O13" s="236"/>
      <c r="P13" s="146"/>
      <c r="Q13" s="153"/>
      <c r="R13" s="232"/>
      <c r="S13" s="150"/>
      <c r="T13" s="232"/>
      <c r="U13" s="230" t="s">
        <v>301</v>
      </c>
      <c r="V13" s="233" t="s">
        <v>309</v>
      </c>
      <c r="W13" s="153"/>
      <c r="X13" s="153"/>
      <c r="Y13" s="153"/>
      <c r="Z13" s="153"/>
      <c r="AA13" s="153"/>
      <c r="AB13" s="153"/>
      <c r="AC13" s="153"/>
      <c r="AD13" s="153"/>
    </row>
    <row r="14" spans="1:30" ht="15.75" thickBot="1">
      <c r="A14" s="142">
        <f t="shared" si="0"/>
        <v>13</v>
      </c>
      <c r="B14" s="230" t="s">
        <v>383</v>
      </c>
      <c r="C14" s="230" t="s">
        <v>384</v>
      </c>
      <c r="D14" s="144" t="s">
        <v>301</v>
      </c>
      <c r="E14" s="239" t="s">
        <v>337</v>
      </c>
      <c r="F14" s="150">
        <v>0</v>
      </c>
      <c r="G14" s="150">
        <v>0</v>
      </c>
      <c r="H14" s="154">
        <v>0</v>
      </c>
      <c r="I14" s="154"/>
      <c r="J14" s="154"/>
      <c r="K14" s="154">
        <v>0</v>
      </c>
      <c r="L14" s="154">
        <v>0</v>
      </c>
      <c r="M14" s="154">
        <v>0</v>
      </c>
      <c r="N14" s="154">
        <v>0</v>
      </c>
      <c r="O14" s="236"/>
      <c r="P14" s="146"/>
      <c r="Q14" s="153"/>
      <c r="R14" s="150"/>
      <c r="S14" s="150"/>
      <c r="T14" s="150"/>
      <c r="U14" s="230" t="s">
        <v>301</v>
      </c>
      <c r="V14" s="233" t="s">
        <v>309</v>
      </c>
      <c r="W14" s="153"/>
      <c r="X14" s="153"/>
      <c r="Y14" s="153"/>
      <c r="Z14" s="153"/>
      <c r="AA14" s="153"/>
      <c r="AB14" s="153"/>
      <c r="AC14" s="153"/>
      <c r="AD14" s="153"/>
    </row>
    <row r="15" spans="1:30" ht="15.75" thickBot="1">
      <c r="A15" s="346" t="s">
        <v>310</v>
      </c>
      <c r="B15" s="347"/>
      <c r="C15" s="347"/>
      <c r="D15" s="347"/>
      <c r="E15" s="348"/>
      <c r="F15" s="244">
        <f>SUM(F2:F14)</f>
        <v>175000</v>
      </c>
      <c r="G15" s="244">
        <f t="shared" ref="G15:N15" si="1">SUM(G2:G14)</f>
        <v>193473.09000000003</v>
      </c>
      <c r="H15" s="244">
        <f t="shared" si="1"/>
        <v>250000</v>
      </c>
      <c r="I15" s="244">
        <f t="shared" si="1"/>
        <v>23625</v>
      </c>
      <c r="J15" s="244">
        <f t="shared" si="1"/>
        <v>187552.62</v>
      </c>
      <c r="K15" s="244">
        <f t="shared" si="1"/>
        <v>480000</v>
      </c>
      <c r="L15" s="244">
        <f t="shared" si="1"/>
        <v>375000</v>
      </c>
      <c r="M15" s="244">
        <f t="shared" si="1"/>
        <v>225000</v>
      </c>
      <c r="N15" s="244">
        <f t="shared" si="1"/>
        <v>1000000</v>
      </c>
      <c r="O15" s="250"/>
      <c r="P15" s="250"/>
      <c r="Q15" s="250"/>
      <c r="R15" s="244">
        <f>SUM(R2:R12)</f>
        <v>0</v>
      </c>
      <c r="S15" s="244">
        <f>SUM(S2:S12)</f>
        <v>0</v>
      </c>
      <c r="T15" s="244">
        <f>SUM(T2:T12)</f>
        <v>0</v>
      </c>
      <c r="U15" s="250"/>
      <c r="V15" s="250"/>
      <c r="W15" s="250"/>
      <c r="X15" s="250"/>
      <c r="Y15" s="250"/>
      <c r="Z15" s="250"/>
      <c r="AA15" s="250"/>
      <c r="AB15" s="250"/>
      <c r="AC15" s="250"/>
      <c r="AD15" s="251"/>
    </row>
  </sheetData>
  <mergeCells count="1">
    <mergeCell ref="A15:E15"/>
  </mergeCells>
  <pageMargins left="0.7" right="0.7" top="0.75" bottom="0.75" header="0.3" footer="0.3"/>
  <pageSetup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F531E-6086-4C2D-AE3E-922AAB6491BA}">
  <sheetPr>
    <tabColor rgb="FFFFC000"/>
  </sheetPr>
  <dimension ref="A1:EI14"/>
  <sheetViews>
    <sheetView workbookViewId="0"/>
  </sheetViews>
  <sheetFormatPr defaultRowHeight="15"/>
  <cols>
    <col min="1" max="1" width="2" bestFit="1" customWidth="1"/>
    <col min="2" max="2" width="56.7109375" bestFit="1" customWidth="1"/>
    <col min="3" max="3" width="41" bestFit="1" customWidth="1"/>
    <col min="4" max="4" width="15.7109375" bestFit="1" customWidth="1"/>
    <col min="5" max="5" width="13.5703125" customWidth="1"/>
    <col min="6" max="6" width="7.28515625" bestFit="1" customWidth="1"/>
    <col min="7" max="7" width="9" bestFit="1" customWidth="1"/>
    <col min="8" max="8" width="7.28515625" bestFit="1" customWidth="1"/>
    <col min="9" max="9" width="11.85546875" bestFit="1" customWidth="1"/>
    <col min="10" max="10" width="11.85546875" customWidth="1"/>
    <col min="11" max="11" width="11.5703125" bestFit="1" customWidth="1"/>
    <col min="12" max="14" width="7.28515625" bestFit="1" customWidth="1"/>
    <col min="15" max="15" width="11.7109375" bestFit="1" customWidth="1"/>
    <col min="16" max="16" width="8.140625" bestFit="1" customWidth="1"/>
    <col min="17" max="17" width="11.85546875" bestFit="1" customWidth="1"/>
    <col min="18" max="18" width="7.28515625" bestFit="1" customWidth="1"/>
    <col min="19" max="19" width="7.42578125" bestFit="1" customWidth="1"/>
    <col min="20" max="20" width="9.5703125" bestFit="1" customWidth="1"/>
    <col min="21" max="21" width="11.7109375" bestFit="1" customWidth="1"/>
    <col min="22" max="22" width="15.7109375" bestFit="1" customWidth="1"/>
    <col min="23" max="23" width="14.28515625" bestFit="1" customWidth="1"/>
    <col min="24" max="24" width="10.5703125" bestFit="1" customWidth="1"/>
    <col min="25" max="25" width="13.140625" bestFit="1" customWidth="1"/>
    <col min="26" max="26" width="8.140625" bestFit="1" customWidth="1"/>
    <col min="27" max="27" width="14.5703125" bestFit="1" customWidth="1"/>
    <col min="28" max="28" width="24.140625" bestFit="1" customWidth="1"/>
    <col min="29" max="29" width="19" bestFit="1" customWidth="1"/>
    <col min="30" max="30" width="6.28515625" bestFit="1" customWidth="1"/>
  </cols>
  <sheetData>
    <row r="1" spans="1:139" ht="44.25" customHeight="1" thickBot="1">
      <c r="A1" s="246" t="s">
        <v>0</v>
      </c>
      <c r="B1" s="246" t="s">
        <v>1</v>
      </c>
      <c r="C1" s="238" t="s">
        <v>2</v>
      </c>
      <c r="D1" s="246" t="s">
        <v>4</v>
      </c>
      <c r="E1" s="238" t="s">
        <v>336</v>
      </c>
      <c r="F1" s="240" t="s">
        <v>346</v>
      </c>
      <c r="G1" s="240" t="s">
        <v>347</v>
      </c>
      <c r="H1" s="240" t="s">
        <v>499</v>
      </c>
      <c r="I1" s="240" t="s">
        <v>494</v>
      </c>
      <c r="J1" s="240" t="s">
        <v>503</v>
      </c>
      <c r="K1" s="240" t="s">
        <v>500</v>
      </c>
      <c r="L1" s="240" t="s">
        <v>501</v>
      </c>
      <c r="M1" s="240" t="s">
        <v>502</v>
      </c>
      <c r="N1" s="240" t="s">
        <v>504</v>
      </c>
      <c r="O1" s="247" t="s">
        <v>5</v>
      </c>
      <c r="P1" s="238" t="s">
        <v>336</v>
      </c>
      <c r="Q1" s="247" t="s">
        <v>6</v>
      </c>
      <c r="R1" s="240" t="s">
        <v>356</v>
      </c>
      <c r="S1" s="240" t="s">
        <v>357</v>
      </c>
      <c r="T1" s="240" t="s">
        <v>358</v>
      </c>
      <c r="U1" s="246" t="s">
        <v>8</v>
      </c>
      <c r="V1" s="246" t="s">
        <v>9</v>
      </c>
      <c r="W1" s="246" t="s">
        <v>10</v>
      </c>
      <c r="X1" s="246" t="s">
        <v>11</v>
      </c>
      <c r="Y1" s="246" t="s">
        <v>12</v>
      </c>
      <c r="Z1" s="238" t="s">
        <v>13</v>
      </c>
      <c r="AA1" s="246" t="s">
        <v>14</v>
      </c>
      <c r="AB1" s="238" t="s">
        <v>15</v>
      </c>
      <c r="AC1" s="238" t="s">
        <v>16</v>
      </c>
      <c r="AD1" s="238" t="s">
        <v>17</v>
      </c>
    </row>
    <row r="2" spans="1:139">
      <c r="A2" s="142">
        <v>1</v>
      </c>
      <c r="B2" s="230" t="s">
        <v>391</v>
      </c>
      <c r="C2" s="230" t="s">
        <v>392</v>
      </c>
      <c r="D2" s="144" t="s">
        <v>271</v>
      </c>
      <c r="E2" s="146" t="s">
        <v>393</v>
      </c>
      <c r="F2" s="150">
        <v>0</v>
      </c>
      <c r="G2" s="150">
        <v>74240.11</v>
      </c>
      <c r="H2" s="154">
        <v>0</v>
      </c>
      <c r="I2" s="150">
        <v>0</v>
      </c>
      <c r="J2" s="150">
        <v>0</v>
      </c>
      <c r="K2" s="154">
        <v>0</v>
      </c>
      <c r="L2" s="154">
        <v>0</v>
      </c>
      <c r="M2" s="154">
        <v>0</v>
      </c>
      <c r="N2" s="235">
        <v>0</v>
      </c>
      <c r="O2" s="236"/>
      <c r="P2" s="146"/>
      <c r="Q2" s="153"/>
      <c r="R2" s="150"/>
      <c r="S2" s="150"/>
      <c r="T2" s="150"/>
      <c r="U2" s="153" t="s">
        <v>271</v>
      </c>
      <c r="V2" s="153" t="s">
        <v>472</v>
      </c>
      <c r="W2" s="153"/>
      <c r="X2" s="153"/>
      <c r="Y2" s="153"/>
      <c r="Z2" s="153" t="s">
        <v>387</v>
      </c>
      <c r="AA2" s="153"/>
      <c r="AB2" s="153"/>
      <c r="AC2" s="153"/>
      <c r="AD2" s="153"/>
    </row>
    <row r="3" spans="1:139" s="153" customFormat="1">
      <c r="A3" s="142">
        <v>2</v>
      </c>
      <c r="B3" s="230" t="s">
        <v>552</v>
      </c>
      <c r="C3" s="230" t="s">
        <v>552</v>
      </c>
      <c r="D3" s="144" t="s">
        <v>271</v>
      </c>
      <c r="E3" s="146" t="s">
        <v>393</v>
      </c>
      <c r="F3" s="150">
        <v>0</v>
      </c>
      <c r="G3" s="150">
        <v>0</v>
      </c>
      <c r="H3" s="150">
        <v>0</v>
      </c>
      <c r="I3" s="154">
        <v>223891.18</v>
      </c>
      <c r="J3" s="154">
        <f>I3</f>
        <v>223891.18</v>
      </c>
      <c r="K3" s="154">
        <v>0</v>
      </c>
      <c r="L3" s="154">
        <v>0</v>
      </c>
      <c r="M3" s="154">
        <v>0</v>
      </c>
      <c r="N3" s="235">
        <v>0</v>
      </c>
      <c r="U3" s="153" t="s">
        <v>271</v>
      </c>
      <c r="V3" s="153" t="s">
        <v>472</v>
      </c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</row>
    <row r="4" spans="1:139" s="153" customFormat="1">
      <c r="A4" s="142">
        <v>3</v>
      </c>
      <c r="B4" s="230" t="s">
        <v>561</v>
      </c>
      <c r="C4" s="230" t="s">
        <v>558</v>
      </c>
      <c r="D4" s="144" t="s">
        <v>271</v>
      </c>
      <c r="E4" s="239" t="s">
        <v>393</v>
      </c>
      <c r="F4" s="150">
        <v>0</v>
      </c>
      <c r="G4" s="150">
        <v>0</v>
      </c>
      <c r="H4" s="154">
        <v>0</v>
      </c>
      <c r="I4" s="154">
        <v>0</v>
      </c>
      <c r="J4" s="154">
        <v>0</v>
      </c>
      <c r="K4" s="154">
        <f>130830</f>
        <v>130830</v>
      </c>
      <c r="L4" s="154">
        <v>0</v>
      </c>
      <c r="M4" s="154">
        <v>0</v>
      </c>
      <c r="N4" s="154">
        <v>0</v>
      </c>
      <c r="U4" s="153" t="s">
        <v>271</v>
      </c>
      <c r="V4" s="153" t="s">
        <v>472</v>
      </c>
      <c r="Z4" s="153" t="s">
        <v>559</v>
      </c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</row>
    <row r="5" spans="1:139" s="153" customFormat="1">
      <c r="A5" s="142">
        <v>4</v>
      </c>
      <c r="B5" s="230" t="s">
        <v>562</v>
      </c>
      <c r="C5" s="230" t="s">
        <v>562</v>
      </c>
      <c r="D5" s="144" t="s">
        <v>271</v>
      </c>
      <c r="E5" s="239" t="s">
        <v>564</v>
      </c>
      <c r="F5" s="150">
        <v>0</v>
      </c>
      <c r="G5" s="150">
        <v>0</v>
      </c>
      <c r="H5" s="154">
        <v>0</v>
      </c>
      <c r="I5" s="154">
        <v>0</v>
      </c>
      <c r="J5" s="154">
        <v>0</v>
      </c>
      <c r="K5" s="154">
        <v>21960</v>
      </c>
      <c r="L5" s="154">
        <v>0</v>
      </c>
      <c r="M5" s="154">
        <v>0</v>
      </c>
      <c r="N5" s="154">
        <v>0</v>
      </c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</row>
    <row r="6" spans="1:139" s="153" customFormat="1" ht="15.75" thickBot="1">
      <c r="A6" s="142">
        <v>5</v>
      </c>
      <c r="B6" s="230" t="s">
        <v>563</v>
      </c>
      <c r="C6" s="230" t="s">
        <v>562</v>
      </c>
      <c r="D6" s="144" t="s">
        <v>271</v>
      </c>
      <c r="E6" s="239" t="s">
        <v>565</v>
      </c>
      <c r="F6" s="150">
        <v>0</v>
      </c>
      <c r="G6" s="150">
        <v>0</v>
      </c>
      <c r="H6" s="154">
        <v>0</v>
      </c>
      <c r="I6" s="154">
        <v>0</v>
      </c>
      <c r="J6" s="154">
        <v>0</v>
      </c>
      <c r="K6" s="154">
        <v>32924.879999999997</v>
      </c>
      <c r="L6" s="154">
        <v>0</v>
      </c>
      <c r="M6" s="154">
        <v>0</v>
      </c>
      <c r="N6" s="154">
        <v>0</v>
      </c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</row>
    <row r="7" spans="1:139" ht="15.75" thickBot="1">
      <c r="A7" s="346" t="s">
        <v>310</v>
      </c>
      <c r="B7" s="347"/>
      <c r="C7" s="347"/>
      <c r="D7" s="347"/>
      <c r="E7" s="348"/>
      <c r="F7" s="244">
        <f t="shared" ref="F7:N7" si="0">SUM(F2:F6)</f>
        <v>0</v>
      </c>
      <c r="G7" s="244">
        <f t="shared" si="0"/>
        <v>74240.11</v>
      </c>
      <c r="H7" s="244">
        <f t="shared" si="0"/>
        <v>0</v>
      </c>
      <c r="I7" s="244">
        <f t="shared" si="0"/>
        <v>223891.18</v>
      </c>
      <c r="J7" s="244">
        <f t="shared" si="0"/>
        <v>223891.18</v>
      </c>
      <c r="K7" s="244">
        <f t="shared" si="0"/>
        <v>185714.88</v>
      </c>
      <c r="L7" s="244">
        <f t="shared" si="0"/>
        <v>0</v>
      </c>
      <c r="M7" s="244">
        <f t="shared" si="0"/>
        <v>0</v>
      </c>
      <c r="N7" s="244">
        <f t="shared" si="0"/>
        <v>0</v>
      </c>
      <c r="O7" s="250"/>
      <c r="P7" s="250"/>
      <c r="Q7" s="250"/>
      <c r="R7" s="244">
        <f>SUM(R2:R6)</f>
        <v>0</v>
      </c>
      <c r="S7" s="244">
        <f>SUM(S2:S6)</f>
        <v>0</v>
      </c>
      <c r="T7" s="244">
        <f>SUM(T2:T6)</f>
        <v>0</v>
      </c>
      <c r="U7" s="250"/>
      <c r="V7" s="250"/>
      <c r="W7" s="250"/>
      <c r="X7" s="250"/>
      <c r="Y7" s="250"/>
      <c r="Z7" s="250"/>
      <c r="AA7" s="250"/>
      <c r="AB7" s="250"/>
      <c r="AC7" s="250"/>
      <c r="AD7" s="251"/>
    </row>
    <row r="14" spans="1:139">
      <c r="K14" s="223"/>
    </row>
  </sheetData>
  <mergeCells count="1">
    <mergeCell ref="A7:E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49F2E-2019-4F32-852D-8B730C9F7CA2}">
  <sheetPr>
    <tabColor rgb="FF92D050"/>
  </sheetPr>
  <dimension ref="A1:EI8"/>
  <sheetViews>
    <sheetView workbookViewId="0"/>
  </sheetViews>
  <sheetFormatPr defaultRowHeight="15"/>
  <cols>
    <col min="1" max="1" width="2" bestFit="1" customWidth="1"/>
    <col min="2" max="2" width="53.85546875" bestFit="1" customWidth="1"/>
    <col min="3" max="3" width="49.5703125" bestFit="1" customWidth="1"/>
    <col min="4" max="4" width="15.7109375" bestFit="1" customWidth="1"/>
    <col min="5" max="5" width="13.85546875" customWidth="1"/>
    <col min="6" max="6" width="7.28515625" bestFit="1" customWidth="1"/>
    <col min="7" max="7" width="7.42578125" bestFit="1" customWidth="1"/>
    <col min="8" max="8" width="7.28515625" bestFit="1" customWidth="1"/>
    <col min="9" max="9" width="11" customWidth="1"/>
    <col min="10" max="10" width="11.85546875" customWidth="1"/>
    <col min="11" max="11" width="14.28515625" bestFit="1" customWidth="1"/>
    <col min="12" max="13" width="7.28515625" bestFit="1" customWidth="1"/>
    <col min="14" max="14" width="7.28515625" customWidth="1"/>
    <col min="15" max="15" width="11.7109375" bestFit="1" customWidth="1"/>
    <col min="16" max="16" width="8.140625" bestFit="1" customWidth="1"/>
    <col min="17" max="17" width="11.85546875" bestFit="1" customWidth="1"/>
    <col min="18" max="18" width="7.28515625" bestFit="1" customWidth="1"/>
    <col min="19" max="19" width="7.42578125" bestFit="1" customWidth="1"/>
    <col min="20" max="20" width="9.5703125" bestFit="1" customWidth="1"/>
    <col min="21" max="21" width="11.7109375" bestFit="1" customWidth="1"/>
    <col min="22" max="22" width="15.7109375" bestFit="1" customWidth="1"/>
    <col min="23" max="23" width="14.28515625" bestFit="1" customWidth="1"/>
    <col min="24" max="24" width="10.5703125" bestFit="1" customWidth="1"/>
    <col min="25" max="25" width="13.140625" bestFit="1" customWidth="1"/>
    <col min="26" max="26" width="44.5703125" bestFit="1" customWidth="1"/>
    <col min="27" max="27" width="14.5703125" bestFit="1" customWidth="1"/>
    <col min="28" max="28" width="24.140625" bestFit="1" customWidth="1"/>
    <col min="29" max="29" width="19" bestFit="1" customWidth="1"/>
    <col min="30" max="30" width="6.28515625" bestFit="1" customWidth="1"/>
  </cols>
  <sheetData>
    <row r="1" spans="1:139" ht="44.25" customHeight="1" thickBot="1">
      <c r="A1" s="246" t="s">
        <v>0</v>
      </c>
      <c r="B1" s="246" t="s">
        <v>1</v>
      </c>
      <c r="C1" s="238" t="s">
        <v>2</v>
      </c>
      <c r="D1" s="246" t="s">
        <v>4</v>
      </c>
      <c r="E1" s="238" t="s">
        <v>336</v>
      </c>
      <c r="F1" s="240" t="s">
        <v>346</v>
      </c>
      <c r="G1" s="240" t="s">
        <v>347</v>
      </c>
      <c r="H1" s="240" t="s">
        <v>499</v>
      </c>
      <c r="I1" s="240" t="s">
        <v>494</v>
      </c>
      <c r="J1" s="240" t="s">
        <v>503</v>
      </c>
      <c r="K1" s="240" t="s">
        <v>500</v>
      </c>
      <c r="L1" s="240" t="s">
        <v>501</v>
      </c>
      <c r="M1" s="240" t="s">
        <v>502</v>
      </c>
      <c r="N1" s="240" t="s">
        <v>504</v>
      </c>
      <c r="O1" s="247" t="s">
        <v>5</v>
      </c>
      <c r="P1" s="238" t="s">
        <v>336</v>
      </c>
      <c r="Q1" s="247" t="s">
        <v>6</v>
      </c>
      <c r="R1" s="240" t="s">
        <v>356</v>
      </c>
      <c r="S1" s="240" t="s">
        <v>357</v>
      </c>
      <c r="T1" s="240" t="s">
        <v>358</v>
      </c>
      <c r="U1" s="246" t="s">
        <v>8</v>
      </c>
      <c r="V1" s="246" t="s">
        <v>9</v>
      </c>
      <c r="W1" s="246" t="s">
        <v>10</v>
      </c>
      <c r="X1" s="246" t="s">
        <v>11</v>
      </c>
      <c r="Y1" s="246" t="s">
        <v>12</v>
      </c>
      <c r="Z1" s="238" t="s">
        <v>13</v>
      </c>
      <c r="AA1" s="246" t="s">
        <v>14</v>
      </c>
      <c r="AB1" s="238" t="s">
        <v>15</v>
      </c>
      <c r="AC1" s="238" t="s">
        <v>16</v>
      </c>
      <c r="AD1" s="238" t="s">
        <v>17</v>
      </c>
    </row>
    <row r="2" spans="1:139" s="153" customFormat="1" ht="15.75" thickBot="1">
      <c r="A2" s="231">
        <v>1</v>
      </c>
      <c r="B2" s="230" t="s">
        <v>553</v>
      </c>
      <c r="C2" s="230" t="s">
        <v>553</v>
      </c>
      <c r="D2" s="230" t="s">
        <v>554</v>
      </c>
      <c r="E2" s="239" t="s">
        <v>555</v>
      </c>
      <c r="F2" s="241">
        <v>0</v>
      </c>
      <c r="G2" s="241">
        <v>0</v>
      </c>
      <c r="H2" s="235">
        <v>0</v>
      </c>
      <c r="I2" s="235">
        <v>0</v>
      </c>
      <c r="J2" s="235">
        <v>0</v>
      </c>
      <c r="K2" s="235">
        <v>2737500</v>
      </c>
      <c r="L2" s="235">
        <v>0</v>
      </c>
      <c r="M2" s="235">
        <v>0</v>
      </c>
      <c r="N2" s="235">
        <v>0</v>
      </c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 t="s">
        <v>623</v>
      </c>
      <c r="AA2" s="233"/>
      <c r="AB2" s="233"/>
      <c r="AC2" s="233"/>
      <c r="AD2" s="249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</row>
    <row r="3" spans="1:139" s="153" customFormat="1" ht="15.75" thickBot="1">
      <c r="A3" s="231">
        <v>2</v>
      </c>
      <c r="B3" s="230" t="s">
        <v>624</v>
      </c>
      <c r="C3" s="230" t="s">
        <v>624</v>
      </c>
      <c r="D3" s="230" t="s">
        <v>554</v>
      </c>
      <c r="E3" s="239" t="s">
        <v>555</v>
      </c>
      <c r="F3" s="241">
        <v>0</v>
      </c>
      <c r="G3" s="241">
        <v>0</v>
      </c>
      <c r="H3" s="235">
        <v>0</v>
      </c>
      <c r="I3" s="235">
        <v>0</v>
      </c>
      <c r="J3" s="235">
        <v>0</v>
      </c>
      <c r="K3" s="235">
        <v>1180000</v>
      </c>
      <c r="L3" s="235">
        <v>0</v>
      </c>
      <c r="M3" s="235">
        <v>0</v>
      </c>
      <c r="N3" s="235">
        <v>0</v>
      </c>
      <c r="O3" s="233"/>
      <c r="P3" s="233"/>
      <c r="Q3" s="233"/>
      <c r="R3" s="233"/>
      <c r="S3" s="233"/>
      <c r="T3" s="233"/>
      <c r="U3" s="233"/>
      <c r="V3" s="233"/>
      <c r="W3" s="233"/>
      <c r="X3" s="233"/>
      <c r="Y3" s="233"/>
      <c r="Z3" s="233" t="s">
        <v>627</v>
      </c>
      <c r="AA3" s="233"/>
      <c r="AB3" s="233"/>
      <c r="AC3" s="233"/>
      <c r="AD3" s="249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</row>
    <row r="4" spans="1:139" s="153" customFormat="1" ht="15.75" thickBot="1">
      <c r="A4" s="231">
        <v>3</v>
      </c>
      <c r="B4" s="230" t="s">
        <v>626</v>
      </c>
      <c r="C4" s="230" t="s">
        <v>626</v>
      </c>
      <c r="D4" s="230" t="s">
        <v>554</v>
      </c>
      <c r="E4" s="239" t="s">
        <v>555</v>
      </c>
      <c r="F4" s="241">
        <v>0</v>
      </c>
      <c r="G4" s="241">
        <v>0</v>
      </c>
      <c r="H4" s="235">
        <v>0</v>
      </c>
      <c r="I4" s="235">
        <v>0</v>
      </c>
      <c r="J4" s="235">
        <v>0</v>
      </c>
      <c r="K4" s="235">
        <v>300000</v>
      </c>
      <c r="L4" s="235">
        <v>0</v>
      </c>
      <c r="M4" s="235">
        <v>0</v>
      </c>
      <c r="N4" s="235">
        <v>0</v>
      </c>
      <c r="O4" s="233"/>
      <c r="P4" s="233"/>
      <c r="Q4" s="233"/>
      <c r="R4" s="233"/>
      <c r="S4" s="233"/>
      <c r="T4" s="233"/>
      <c r="U4" s="233"/>
      <c r="V4" s="233"/>
      <c r="W4" s="233"/>
      <c r="X4" s="233"/>
      <c r="Y4" s="233"/>
      <c r="Z4" s="233" t="s">
        <v>627</v>
      </c>
      <c r="AA4" s="233"/>
      <c r="AB4" s="233"/>
      <c r="AC4" s="233"/>
      <c r="AD4" s="249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</row>
    <row r="5" spans="1:139" s="153" customFormat="1" ht="15.75" thickBot="1">
      <c r="A5" s="231">
        <v>4</v>
      </c>
      <c r="B5" s="230" t="s">
        <v>625</v>
      </c>
      <c r="C5" s="230" t="s">
        <v>625</v>
      </c>
      <c r="D5" s="230" t="s">
        <v>554</v>
      </c>
      <c r="E5" s="239" t="s">
        <v>555</v>
      </c>
      <c r="F5" s="241">
        <v>0</v>
      </c>
      <c r="G5" s="241">
        <v>0</v>
      </c>
      <c r="H5" s="235">
        <v>0</v>
      </c>
      <c r="I5" s="235">
        <v>0</v>
      </c>
      <c r="J5" s="235">
        <v>0</v>
      </c>
      <c r="K5" s="235">
        <v>2100000</v>
      </c>
      <c r="L5" s="235">
        <v>0</v>
      </c>
      <c r="M5" s="235">
        <v>0</v>
      </c>
      <c r="N5" s="235">
        <v>0</v>
      </c>
      <c r="O5" s="233"/>
      <c r="P5" s="233"/>
      <c r="Q5" s="233"/>
      <c r="R5" s="233"/>
      <c r="S5" s="233"/>
      <c r="T5" s="233"/>
      <c r="U5" s="233"/>
      <c r="V5" s="233"/>
      <c r="W5" s="233"/>
      <c r="X5" s="233"/>
      <c r="Y5" s="233"/>
      <c r="Z5" s="233" t="s">
        <v>627</v>
      </c>
      <c r="AA5" s="233"/>
      <c r="AB5" s="233"/>
      <c r="AC5" s="233"/>
      <c r="AD5" s="249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</row>
    <row r="6" spans="1:139" ht="15.75" thickBot="1">
      <c r="A6" s="346" t="s">
        <v>310</v>
      </c>
      <c r="B6" s="347"/>
      <c r="C6" s="347"/>
      <c r="D6" s="347"/>
      <c r="E6" s="348"/>
      <c r="F6" s="244">
        <f t="shared" ref="F6:J6" si="0">SUM(F2:F5)</f>
        <v>0</v>
      </c>
      <c r="G6" s="244">
        <f t="shared" si="0"/>
        <v>0</v>
      </c>
      <c r="H6" s="244">
        <f t="shared" si="0"/>
        <v>0</v>
      </c>
      <c r="I6" s="244">
        <f t="shared" si="0"/>
        <v>0</v>
      </c>
      <c r="J6" s="244">
        <f t="shared" si="0"/>
        <v>0</v>
      </c>
      <c r="K6" s="244">
        <f>SUM(K2:K5)</f>
        <v>6317500</v>
      </c>
      <c r="L6" s="244">
        <f t="shared" ref="L6:N6" si="1">SUM(L2:L5)</f>
        <v>0</v>
      </c>
      <c r="M6" s="244">
        <f t="shared" si="1"/>
        <v>0</v>
      </c>
      <c r="N6" s="244">
        <f t="shared" si="1"/>
        <v>0</v>
      </c>
      <c r="O6" s="250"/>
      <c r="P6" s="250"/>
      <c r="Q6" s="250"/>
      <c r="R6" s="244">
        <f>SUM(R2:R2)</f>
        <v>0</v>
      </c>
      <c r="S6" s="244">
        <f>SUM(S2:S2)</f>
        <v>0</v>
      </c>
      <c r="T6" s="244">
        <f>SUM(T2:T2)</f>
        <v>0</v>
      </c>
      <c r="U6" s="250"/>
      <c r="V6" s="250"/>
      <c r="W6" s="250"/>
      <c r="X6" s="250"/>
      <c r="Y6" s="250"/>
      <c r="Z6" s="250"/>
      <c r="AA6" s="250"/>
      <c r="AB6" s="250"/>
      <c r="AC6" s="250"/>
      <c r="AD6" s="251"/>
    </row>
    <row r="8" spans="1:139">
      <c r="K8" s="223"/>
    </row>
  </sheetData>
  <mergeCells count="1">
    <mergeCell ref="A6:E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75697-0931-4AA3-97FF-C80970DE248F}">
  <sheetPr>
    <tabColor rgb="FF00B0F0"/>
  </sheetPr>
  <dimension ref="A1:EO47"/>
  <sheetViews>
    <sheetView workbookViewId="0">
      <selection activeCell="C15" sqref="C15"/>
    </sheetView>
  </sheetViews>
  <sheetFormatPr defaultRowHeight="15"/>
  <cols>
    <col min="1" max="1" width="8.5703125" bestFit="1" customWidth="1"/>
    <col min="2" max="3" width="71.140625" bestFit="1" customWidth="1"/>
    <col min="4" max="4" width="16.28515625" customWidth="1"/>
    <col min="5" max="5" width="15.7109375" style="234" customWidth="1"/>
    <col min="6" max="6" width="14.28515625" bestFit="1" customWidth="1"/>
    <col min="7" max="7" width="14.28515625" customWidth="1"/>
    <col min="8" max="8" width="12.140625" bestFit="1" customWidth="1"/>
    <col min="9" max="10" width="12.140625" customWidth="1"/>
    <col min="11" max="13" width="12.140625" bestFit="1" customWidth="1"/>
    <col min="14" max="14" width="11.5703125" customWidth="1"/>
    <col min="15" max="15" width="38.5703125" customWidth="1"/>
    <col min="16" max="16" width="11.42578125" bestFit="1" customWidth="1"/>
    <col min="17" max="17" width="16.7109375" bestFit="1" customWidth="1"/>
    <col min="18" max="18" width="12.7109375" bestFit="1" customWidth="1"/>
    <col min="19" max="19" width="12.85546875" bestFit="1" customWidth="1"/>
    <col min="20" max="20" width="15.140625" bestFit="1" customWidth="1"/>
    <col min="21" max="21" width="18.85546875" bestFit="1" customWidth="1"/>
    <col min="22" max="22" width="15.7109375" bestFit="1" customWidth="1"/>
    <col min="23" max="23" width="14.28515625" bestFit="1" customWidth="1"/>
    <col min="24" max="24" width="10.5703125" bestFit="1" customWidth="1"/>
    <col min="25" max="25" width="40.42578125" bestFit="1" customWidth="1"/>
    <col min="26" max="26" width="23.85546875" bestFit="1" customWidth="1"/>
    <col min="27" max="27" width="14.5703125" bestFit="1" customWidth="1"/>
    <col min="28" max="28" width="24.140625" bestFit="1" customWidth="1"/>
    <col min="29" max="29" width="22" bestFit="1" customWidth="1"/>
    <col min="30" max="30" width="129.5703125" bestFit="1" customWidth="1"/>
    <col min="31" max="31" width="29.42578125" customWidth="1"/>
  </cols>
  <sheetData>
    <row r="1" spans="1:30" ht="44.25" customHeight="1" thickBot="1">
      <c r="A1" s="246" t="s">
        <v>0</v>
      </c>
      <c r="B1" s="246" t="s">
        <v>1</v>
      </c>
      <c r="C1" s="238" t="s">
        <v>2</v>
      </c>
      <c r="D1" s="246" t="s">
        <v>4</v>
      </c>
      <c r="E1" s="238" t="s">
        <v>336</v>
      </c>
      <c r="F1" s="240" t="s">
        <v>346</v>
      </c>
      <c r="G1" s="240" t="s">
        <v>347</v>
      </c>
      <c r="H1" s="240" t="s">
        <v>499</v>
      </c>
      <c r="I1" s="240" t="s">
        <v>494</v>
      </c>
      <c r="J1" s="240" t="s">
        <v>503</v>
      </c>
      <c r="K1" s="240" t="s">
        <v>500</v>
      </c>
      <c r="L1" s="240" t="s">
        <v>501</v>
      </c>
      <c r="M1" s="240" t="s">
        <v>502</v>
      </c>
      <c r="N1" s="240" t="s">
        <v>504</v>
      </c>
      <c r="O1" s="247" t="s">
        <v>5</v>
      </c>
      <c r="P1" s="238" t="s">
        <v>336</v>
      </c>
      <c r="Q1" s="247" t="s">
        <v>6</v>
      </c>
      <c r="R1" s="240" t="s">
        <v>356</v>
      </c>
      <c r="S1" s="240" t="s">
        <v>357</v>
      </c>
      <c r="T1" s="240" t="s">
        <v>358</v>
      </c>
      <c r="U1" s="246" t="s">
        <v>8</v>
      </c>
      <c r="V1" s="246" t="s">
        <v>9</v>
      </c>
      <c r="W1" s="246" t="s">
        <v>10</v>
      </c>
      <c r="X1" s="246" t="s">
        <v>11</v>
      </c>
      <c r="Y1" s="246" t="s">
        <v>12</v>
      </c>
      <c r="Z1" s="238" t="s">
        <v>13</v>
      </c>
      <c r="AA1" s="246" t="s">
        <v>14</v>
      </c>
      <c r="AB1" s="238" t="s">
        <v>15</v>
      </c>
      <c r="AC1" s="238" t="s">
        <v>16</v>
      </c>
      <c r="AD1" s="238" t="s">
        <v>17</v>
      </c>
    </row>
    <row r="2" spans="1:30">
      <c r="A2" s="142">
        <v>1</v>
      </c>
      <c r="B2" s="230" t="s">
        <v>488</v>
      </c>
      <c r="C2" s="230" t="s">
        <v>489</v>
      </c>
      <c r="D2" s="144" t="s">
        <v>290</v>
      </c>
      <c r="E2" s="146" t="s">
        <v>339</v>
      </c>
      <c r="F2" s="150">
        <v>0</v>
      </c>
      <c r="G2" s="150">
        <v>42188.25</v>
      </c>
      <c r="H2" s="154">
        <v>0</v>
      </c>
      <c r="I2" s="154">
        <v>0</v>
      </c>
      <c r="J2" s="154">
        <v>0</v>
      </c>
      <c r="K2" s="154">
        <v>0</v>
      </c>
      <c r="L2" s="154">
        <v>0</v>
      </c>
      <c r="M2" s="154">
        <v>0</v>
      </c>
      <c r="N2" s="154">
        <v>0</v>
      </c>
      <c r="O2" s="236"/>
      <c r="P2" s="146"/>
      <c r="Q2" s="153"/>
      <c r="R2" s="150"/>
      <c r="S2" s="150"/>
      <c r="T2" s="150"/>
      <c r="U2" s="153"/>
      <c r="V2" s="153"/>
      <c r="W2" s="153"/>
      <c r="X2" s="153"/>
      <c r="Y2" s="153"/>
      <c r="Z2" s="153"/>
      <c r="AA2" s="153"/>
      <c r="AB2" s="153"/>
      <c r="AC2" s="153"/>
      <c r="AD2" s="153"/>
    </row>
    <row r="3" spans="1:30">
      <c r="A3" s="142">
        <f t="shared" ref="A3:A41" si="0">A2+1</f>
        <v>2</v>
      </c>
      <c r="B3" s="230" t="s">
        <v>635</v>
      </c>
      <c r="C3" s="230" t="s">
        <v>635</v>
      </c>
      <c r="D3" s="144" t="s">
        <v>290</v>
      </c>
      <c r="E3" s="146" t="s">
        <v>339</v>
      </c>
      <c r="F3" s="150">
        <v>1210000</v>
      </c>
      <c r="G3" s="150">
        <v>40690.25</v>
      </c>
      <c r="H3" s="154">
        <v>800000</v>
      </c>
      <c r="I3" s="154">
        <f>6421.3+2164.38+3030.12+7791.75+16962.16</f>
        <v>36369.71</v>
      </c>
      <c r="J3" s="154">
        <f>I3+24000</f>
        <v>60369.71</v>
      </c>
      <c r="K3" s="154">
        <v>0</v>
      </c>
      <c r="L3" s="154">
        <v>0</v>
      </c>
      <c r="M3" s="154">
        <v>0</v>
      </c>
      <c r="N3" s="154">
        <v>0</v>
      </c>
      <c r="O3" s="353" t="s">
        <v>368</v>
      </c>
      <c r="P3" s="355" t="s">
        <v>369</v>
      </c>
      <c r="Q3" s="357" t="s">
        <v>330</v>
      </c>
      <c r="R3" s="349">
        <v>900000</v>
      </c>
      <c r="S3" s="349"/>
      <c r="T3" s="349">
        <v>900000</v>
      </c>
      <c r="U3" s="351" t="s">
        <v>294</v>
      </c>
      <c r="V3" s="351" t="s">
        <v>303</v>
      </c>
      <c r="W3" s="153"/>
      <c r="X3" s="153"/>
      <c r="Y3" s="153" t="s">
        <v>23</v>
      </c>
      <c r="Z3" s="153" t="s">
        <v>298</v>
      </c>
      <c r="AA3" s="153"/>
      <c r="AB3" s="153"/>
      <c r="AC3" s="153"/>
      <c r="AD3" s="153" t="s">
        <v>363</v>
      </c>
    </row>
    <row r="4" spans="1:30">
      <c r="A4" s="142">
        <f t="shared" si="0"/>
        <v>3</v>
      </c>
      <c r="B4" s="230" t="s">
        <v>636</v>
      </c>
      <c r="C4" s="230" t="s">
        <v>636</v>
      </c>
      <c r="D4" s="144" t="s">
        <v>290</v>
      </c>
      <c r="E4" s="146" t="s">
        <v>370</v>
      </c>
      <c r="F4" s="150">
        <v>0</v>
      </c>
      <c r="G4" s="150">
        <v>0</v>
      </c>
      <c r="H4" s="154">
        <v>0</v>
      </c>
      <c r="I4" s="154">
        <v>0</v>
      </c>
      <c r="J4" s="154">
        <v>0</v>
      </c>
      <c r="K4" s="154">
        <v>822940.04</v>
      </c>
      <c r="L4" s="154">
        <v>0</v>
      </c>
      <c r="M4" s="154">
        <v>0</v>
      </c>
      <c r="N4" s="154">
        <v>0</v>
      </c>
      <c r="O4" s="354"/>
      <c r="P4" s="356"/>
      <c r="Q4" s="358"/>
      <c r="R4" s="350"/>
      <c r="S4" s="350"/>
      <c r="T4" s="350"/>
      <c r="U4" s="352"/>
      <c r="V4" s="352"/>
      <c r="W4" s="153"/>
      <c r="X4" s="153"/>
      <c r="Y4" s="153"/>
      <c r="Z4" s="153"/>
      <c r="AA4" s="153"/>
      <c r="AB4" s="153"/>
      <c r="AC4" s="153"/>
      <c r="AD4" s="153"/>
    </row>
    <row r="5" spans="1:30">
      <c r="A5" s="142">
        <f t="shared" si="0"/>
        <v>4</v>
      </c>
      <c r="B5" s="230" t="s">
        <v>292</v>
      </c>
      <c r="C5" s="230" t="s">
        <v>292</v>
      </c>
      <c r="D5" s="144" t="s">
        <v>290</v>
      </c>
      <c r="E5" s="146" t="s">
        <v>370</v>
      </c>
      <c r="F5" s="150">
        <v>120000</v>
      </c>
      <c r="G5" s="150">
        <v>0</v>
      </c>
      <c r="H5" s="154">
        <v>0</v>
      </c>
      <c r="I5" s="154">
        <v>0</v>
      </c>
      <c r="J5" s="154">
        <v>0</v>
      </c>
      <c r="K5" s="154">
        <v>0</v>
      </c>
      <c r="L5" s="154">
        <v>150000</v>
      </c>
      <c r="M5" s="154">
        <v>0</v>
      </c>
      <c r="N5" s="154">
        <v>0</v>
      </c>
      <c r="O5" s="236"/>
      <c r="P5" s="146"/>
      <c r="Q5" s="153"/>
      <c r="R5" s="150"/>
      <c r="S5" s="150"/>
      <c r="T5" s="150"/>
      <c r="U5" s="153" t="s">
        <v>294</v>
      </c>
      <c r="V5" s="153" t="s">
        <v>303</v>
      </c>
      <c r="W5" s="153"/>
      <c r="X5" s="153"/>
      <c r="Y5" s="153" t="s">
        <v>23</v>
      </c>
      <c r="Z5" s="153" t="s">
        <v>387</v>
      </c>
      <c r="AA5" s="153"/>
      <c r="AB5" s="153"/>
      <c r="AC5" s="153"/>
      <c r="AD5" s="153"/>
    </row>
    <row r="6" spans="1:30">
      <c r="A6" s="142">
        <f t="shared" si="0"/>
        <v>5</v>
      </c>
      <c r="B6" s="230" t="s">
        <v>293</v>
      </c>
      <c r="C6" s="230" t="s">
        <v>293</v>
      </c>
      <c r="D6" s="144" t="s">
        <v>290</v>
      </c>
      <c r="E6" s="146" t="s">
        <v>339</v>
      </c>
      <c r="F6" s="150">
        <v>70000</v>
      </c>
      <c r="G6" s="150">
        <v>0</v>
      </c>
      <c r="H6" s="154">
        <v>0</v>
      </c>
      <c r="I6" s="154">
        <v>0</v>
      </c>
      <c r="J6" s="154">
        <v>0</v>
      </c>
      <c r="K6" s="154">
        <v>0</v>
      </c>
      <c r="L6" s="154">
        <v>0</v>
      </c>
      <c r="M6" s="154">
        <v>0</v>
      </c>
      <c r="N6" s="154">
        <v>0</v>
      </c>
      <c r="O6" s="236"/>
      <c r="P6" s="146"/>
      <c r="Q6" s="153"/>
      <c r="R6" s="150"/>
      <c r="S6" s="150"/>
      <c r="T6" s="150"/>
      <c r="U6" s="153" t="s">
        <v>294</v>
      </c>
      <c r="V6" s="153" t="s">
        <v>297</v>
      </c>
      <c r="W6" s="153"/>
      <c r="X6" s="153"/>
      <c r="Y6" s="153" t="s">
        <v>23</v>
      </c>
      <c r="Z6" s="153" t="s">
        <v>298</v>
      </c>
      <c r="AA6" s="153"/>
      <c r="AB6" s="153"/>
      <c r="AC6" s="153"/>
      <c r="AD6" s="153"/>
    </row>
    <row r="7" spans="1:30">
      <c r="A7" s="142">
        <f t="shared" si="0"/>
        <v>6</v>
      </c>
      <c r="B7" s="230" t="s">
        <v>385</v>
      </c>
      <c r="C7" s="230" t="s">
        <v>385</v>
      </c>
      <c r="D7" s="144" t="s">
        <v>290</v>
      </c>
      <c r="E7" s="146" t="s">
        <v>339</v>
      </c>
      <c r="F7" s="150">
        <v>400000</v>
      </c>
      <c r="G7" s="150">
        <v>324418.68000000005</v>
      </c>
      <c r="H7" s="154">
        <v>0</v>
      </c>
      <c r="I7" s="154">
        <v>26239.83</v>
      </c>
      <c r="J7" s="154">
        <f>I7</f>
        <v>26239.83</v>
      </c>
      <c r="K7" s="154">
        <v>0</v>
      </c>
      <c r="L7" s="154">
        <v>0</v>
      </c>
      <c r="M7" s="154">
        <v>0</v>
      </c>
      <c r="N7" s="154">
        <v>0</v>
      </c>
      <c r="O7" s="236"/>
      <c r="P7" s="146"/>
      <c r="Q7" s="153"/>
      <c r="R7" s="150"/>
      <c r="S7" s="150"/>
      <c r="T7" s="150"/>
      <c r="U7" s="153" t="s">
        <v>294</v>
      </c>
      <c r="V7" s="153" t="s">
        <v>297</v>
      </c>
      <c r="W7" s="153"/>
      <c r="X7" s="153"/>
      <c r="Y7" s="153" t="s">
        <v>23</v>
      </c>
      <c r="Z7" s="153" t="s">
        <v>298</v>
      </c>
      <c r="AA7" s="153"/>
      <c r="AB7" s="153"/>
      <c r="AC7" s="153"/>
      <c r="AD7" s="153" t="s">
        <v>366</v>
      </c>
    </row>
    <row r="8" spans="1:30">
      <c r="A8" s="142">
        <f t="shared" si="0"/>
        <v>7</v>
      </c>
      <c r="B8" s="230" t="s">
        <v>491</v>
      </c>
      <c r="C8" s="230" t="s">
        <v>491</v>
      </c>
      <c r="D8" s="144" t="s">
        <v>290</v>
      </c>
      <c r="E8" s="146" t="s">
        <v>492</v>
      </c>
      <c r="F8" s="150">
        <v>0</v>
      </c>
      <c r="G8" s="150">
        <v>1766.7</v>
      </c>
      <c r="H8" s="154">
        <v>0</v>
      </c>
      <c r="I8" s="154">
        <v>0</v>
      </c>
      <c r="J8" s="154">
        <v>0</v>
      </c>
      <c r="K8" s="154">
        <v>0</v>
      </c>
      <c r="L8" s="154">
        <v>0</v>
      </c>
      <c r="M8" s="154">
        <v>0</v>
      </c>
      <c r="N8" s="154">
        <v>0</v>
      </c>
      <c r="O8" s="236"/>
      <c r="P8" s="146"/>
      <c r="Q8" s="153"/>
      <c r="R8" s="150"/>
      <c r="S8" s="150"/>
      <c r="T8" s="150"/>
      <c r="U8" s="153"/>
      <c r="V8" s="153"/>
      <c r="W8" s="153"/>
      <c r="X8" s="153"/>
      <c r="Y8" s="153"/>
      <c r="Z8" s="153"/>
      <c r="AA8" s="153"/>
      <c r="AB8" s="153"/>
      <c r="AC8" s="153"/>
      <c r="AD8" s="153"/>
    </row>
    <row r="9" spans="1:30">
      <c r="A9" s="142">
        <f t="shared" si="0"/>
        <v>8</v>
      </c>
      <c r="B9" s="230" t="s">
        <v>611</v>
      </c>
      <c r="C9" s="230" t="s">
        <v>611</v>
      </c>
      <c r="D9" s="144" t="s">
        <v>290</v>
      </c>
      <c r="E9" s="146" t="s">
        <v>370</v>
      </c>
      <c r="F9" s="150">
        <v>0</v>
      </c>
      <c r="G9" s="150">
        <v>0</v>
      </c>
      <c r="H9" s="154">
        <v>10000</v>
      </c>
      <c r="I9" s="154">
        <v>7446.66</v>
      </c>
      <c r="J9" s="154">
        <v>20000</v>
      </c>
      <c r="K9" s="154">
        <v>0</v>
      </c>
      <c r="L9" s="154">
        <v>0</v>
      </c>
      <c r="M9" s="154">
        <v>0</v>
      </c>
      <c r="N9" s="154">
        <v>0</v>
      </c>
      <c r="O9" s="236" t="s">
        <v>473</v>
      </c>
      <c r="P9" s="146" t="s">
        <v>369</v>
      </c>
      <c r="Q9" s="153" t="s">
        <v>330</v>
      </c>
      <c r="R9" s="150">
        <v>10000</v>
      </c>
      <c r="S9" s="150">
        <v>10000</v>
      </c>
      <c r="T9" s="150">
        <v>10000</v>
      </c>
      <c r="U9" s="153" t="s">
        <v>294</v>
      </c>
      <c r="V9" s="153" t="s">
        <v>303</v>
      </c>
      <c r="W9" s="153"/>
      <c r="X9" s="153"/>
      <c r="Y9" s="153"/>
      <c r="Z9" s="153" t="s">
        <v>314</v>
      </c>
      <c r="AA9" s="153"/>
      <c r="AB9" s="153"/>
      <c r="AC9" s="153"/>
      <c r="AD9" s="153" t="s">
        <v>364</v>
      </c>
    </row>
    <row r="10" spans="1:30">
      <c r="A10" s="142">
        <f t="shared" si="0"/>
        <v>9</v>
      </c>
      <c r="B10" s="230" t="s">
        <v>311</v>
      </c>
      <c r="C10" s="230" t="s">
        <v>397</v>
      </c>
      <c r="D10" s="144" t="s">
        <v>290</v>
      </c>
      <c r="E10" s="146" t="s">
        <v>370</v>
      </c>
      <c r="F10" s="150">
        <v>0</v>
      </c>
      <c r="G10" s="150">
        <v>0</v>
      </c>
      <c r="H10" s="154">
        <v>13000</v>
      </c>
      <c r="I10" s="154">
        <v>9771.0400000000009</v>
      </c>
      <c r="J10" s="154">
        <f>I10</f>
        <v>9771.0400000000009</v>
      </c>
      <c r="K10" s="154">
        <v>13000</v>
      </c>
      <c r="L10" s="154">
        <v>13000</v>
      </c>
      <c r="M10" s="154"/>
      <c r="N10" s="154">
        <v>0</v>
      </c>
      <c r="O10" s="236"/>
      <c r="P10" s="146"/>
      <c r="Q10" s="153"/>
      <c r="R10" s="150"/>
      <c r="S10" s="150"/>
      <c r="T10" s="150"/>
      <c r="U10" s="153" t="s">
        <v>294</v>
      </c>
      <c r="V10" s="153" t="s">
        <v>303</v>
      </c>
      <c r="W10" s="153"/>
      <c r="X10" s="153"/>
      <c r="Y10" s="153"/>
      <c r="Z10" s="153" t="s">
        <v>314</v>
      </c>
      <c r="AA10" s="153"/>
      <c r="AB10" s="153"/>
      <c r="AC10" s="153"/>
      <c r="AD10" s="153"/>
    </row>
    <row r="11" spans="1:30">
      <c r="A11" s="142">
        <f t="shared" si="0"/>
        <v>10</v>
      </c>
      <c r="B11" s="230" t="s">
        <v>637</v>
      </c>
      <c r="C11" s="230" t="s">
        <v>637</v>
      </c>
      <c r="D11" s="144" t="s">
        <v>290</v>
      </c>
      <c r="E11" s="146" t="s">
        <v>339</v>
      </c>
      <c r="F11" s="154">
        <v>0</v>
      </c>
      <c r="G11" s="154">
        <v>0</v>
      </c>
      <c r="H11" s="154">
        <v>250000</v>
      </c>
      <c r="I11" s="154">
        <f>5875+20061.8+3500</f>
        <v>29436.799999999999</v>
      </c>
      <c r="J11" s="154">
        <v>33750</v>
      </c>
      <c r="K11" s="154">
        <v>0</v>
      </c>
      <c r="L11" s="154">
        <v>0</v>
      </c>
      <c r="M11" s="154">
        <v>0</v>
      </c>
      <c r="N11" s="154">
        <v>0</v>
      </c>
      <c r="O11" s="236"/>
      <c r="P11" s="146"/>
      <c r="Q11" s="153"/>
      <c r="R11" s="150"/>
      <c r="S11" s="150"/>
      <c r="T11" s="150"/>
      <c r="U11" s="153" t="s">
        <v>294</v>
      </c>
      <c r="V11" s="153" t="s">
        <v>303</v>
      </c>
      <c r="W11" s="153"/>
      <c r="X11" s="153"/>
      <c r="Y11" s="153"/>
      <c r="Z11" s="153" t="s">
        <v>298</v>
      </c>
      <c r="AA11" s="153"/>
      <c r="AB11" s="153"/>
      <c r="AC11" s="153"/>
      <c r="AD11" s="153"/>
    </row>
    <row r="12" spans="1:30">
      <c r="A12" s="142">
        <f t="shared" si="0"/>
        <v>11</v>
      </c>
      <c r="B12" s="230" t="s">
        <v>638</v>
      </c>
      <c r="C12" s="230" t="s">
        <v>638</v>
      </c>
      <c r="D12" s="144" t="s">
        <v>290</v>
      </c>
      <c r="E12" s="146" t="s">
        <v>370</v>
      </c>
      <c r="F12" s="154">
        <v>0</v>
      </c>
      <c r="G12" s="154">
        <v>0</v>
      </c>
      <c r="H12" s="154">
        <v>0</v>
      </c>
      <c r="I12" s="154">
        <v>0</v>
      </c>
      <c r="J12" s="154">
        <v>0</v>
      </c>
      <c r="K12" s="154">
        <f>436000*110%</f>
        <v>479600.00000000006</v>
      </c>
      <c r="L12" s="154">
        <v>0</v>
      </c>
      <c r="M12" s="154">
        <v>0</v>
      </c>
      <c r="N12" s="154">
        <v>0</v>
      </c>
      <c r="O12" s="236"/>
      <c r="P12" s="146"/>
      <c r="Q12" s="153"/>
      <c r="R12" s="150"/>
      <c r="S12" s="150"/>
      <c r="T12" s="150"/>
      <c r="U12" s="153"/>
      <c r="V12" s="153"/>
      <c r="W12" s="153"/>
      <c r="X12" s="153"/>
      <c r="Y12" s="153"/>
      <c r="Z12" s="153"/>
      <c r="AA12" s="153"/>
      <c r="AB12" s="153"/>
      <c r="AC12" s="153"/>
      <c r="AD12" s="153"/>
    </row>
    <row r="13" spans="1:30" ht="30">
      <c r="A13" s="142">
        <f t="shared" si="0"/>
        <v>12</v>
      </c>
      <c r="B13" s="275" t="s">
        <v>579</v>
      </c>
      <c r="C13" s="275" t="s">
        <v>579</v>
      </c>
      <c r="D13" s="144" t="s">
        <v>290</v>
      </c>
      <c r="E13" s="146" t="s">
        <v>640</v>
      </c>
      <c r="F13" s="154">
        <v>0</v>
      </c>
      <c r="G13" s="154">
        <v>0</v>
      </c>
      <c r="H13" s="154">
        <v>25000</v>
      </c>
      <c r="I13" s="154">
        <v>0</v>
      </c>
      <c r="J13" s="154">
        <v>0</v>
      </c>
      <c r="K13" s="154">
        <v>40000</v>
      </c>
      <c r="L13" s="154">
        <v>0</v>
      </c>
      <c r="M13" s="154">
        <v>0</v>
      </c>
      <c r="N13" s="154">
        <v>0</v>
      </c>
      <c r="O13" s="236"/>
      <c r="P13" s="146"/>
      <c r="Q13" s="153"/>
      <c r="R13" s="150"/>
      <c r="S13" s="150"/>
      <c r="T13" s="150"/>
      <c r="U13" s="153" t="s">
        <v>294</v>
      </c>
      <c r="V13" s="153" t="s">
        <v>303</v>
      </c>
      <c r="W13" s="153"/>
      <c r="X13" s="153"/>
      <c r="Y13" s="153"/>
      <c r="Z13" s="153" t="s">
        <v>298</v>
      </c>
      <c r="AA13" s="153"/>
      <c r="AB13" s="153"/>
      <c r="AC13" s="153"/>
      <c r="AD13" s="153"/>
    </row>
    <row r="14" spans="1:30">
      <c r="A14" s="142">
        <f t="shared" si="0"/>
        <v>13</v>
      </c>
      <c r="B14" s="230" t="s">
        <v>456</v>
      </c>
      <c r="C14" s="230" t="s">
        <v>456</v>
      </c>
      <c r="D14" s="144" t="s">
        <v>290</v>
      </c>
      <c r="E14" s="146" t="s">
        <v>370</v>
      </c>
      <c r="F14" s="154">
        <v>0</v>
      </c>
      <c r="G14" s="154">
        <v>0</v>
      </c>
      <c r="H14" s="154">
        <v>0</v>
      </c>
      <c r="I14" s="154">
        <v>0</v>
      </c>
      <c r="J14" s="154">
        <v>0</v>
      </c>
      <c r="K14" s="154">
        <v>0</v>
      </c>
      <c r="L14" s="154">
        <v>0</v>
      </c>
      <c r="M14" s="154">
        <v>170000</v>
      </c>
      <c r="N14" s="154">
        <v>0</v>
      </c>
      <c r="O14" s="236"/>
      <c r="P14" s="146"/>
      <c r="Q14" s="153"/>
      <c r="R14" s="150"/>
      <c r="S14" s="150"/>
      <c r="T14" s="150"/>
      <c r="U14" s="153" t="s">
        <v>294</v>
      </c>
      <c r="V14" s="153" t="s">
        <v>303</v>
      </c>
      <c r="W14" s="153"/>
      <c r="X14" s="153"/>
      <c r="Y14" s="153"/>
      <c r="Z14" s="153" t="s">
        <v>387</v>
      </c>
      <c r="AA14" s="153"/>
      <c r="AB14" s="153"/>
      <c r="AC14" s="153"/>
      <c r="AD14" s="153"/>
    </row>
    <row r="15" spans="1:30">
      <c r="A15" s="142">
        <f t="shared" si="0"/>
        <v>14</v>
      </c>
      <c r="B15" s="230" t="s">
        <v>457</v>
      </c>
      <c r="C15" s="230" t="s">
        <v>457</v>
      </c>
      <c r="D15" s="144" t="s">
        <v>290</v>
      </c>
      <c r="E15" s="146" t="s">
        <v>370</v>
      </c>
      <c r="F15" s="154">
        <v>0</v>
      </c>
      <c r="G15" s="154">
        <v>0</v>
      </c>
      <c r="H15" s="154">
        <v>0</v>
      </c>
      <c r="I15" s="154">
        <v>0</v>
      </c>
      <c r="J15" s="154">
        <v>0</v>
      </c>
      <c r="K15" s="154">
        <v>0</v>
      </c>
      <c r="L15" s="154">
        <v>6000</v>
      </c>
      <c r="M15" s="154">
        <v>0</v>
      </c>
      <c r="N15" s="154">
        <v>0</v>
      </c>
      <c r="O15" s="236"/>
      <c r="P15" s="146"/>
      <c r="Q15" s="153"/>
      <c r="R15" s="150"/>
      <c r="S15" s="150"/>
      <c r="T15" s="150"/>
      <c r="U15" s="153" t="s">
        <v>294</v>
      </c>
      <c r="V15" s="153" t="s">
        <v>303</v>
      </c>
      <c r="W15" s="153"/>
      <c r="X15" s="153"/>
      <c r="Y15" s="153"/>
      <c r="Z15" s="153" t="s">
        <v>387</v>
      </c>
      <c r="AA15" s="153"/>
      <c r="AB15" s="153"/>
      <c r="AC15" s="153"/>
      <c r="AD15" s="153"/>
    </row>
    <row r="16" spans="1:30">
      <c r="A16" s="142">
        <f t="shared" si="0"/>
        <v>15</v>
      </c>
      <c r="B16" s="230" t="s">
        <v>458</v>
      </c>
      <c r="C16" s="230" t="s">
        <v>458</v>
      </c>
      <c r="D16" s="144" t="s">
        <v>290</v>
      </c>
      <c r="E16" s="146" t="s">
        <v>370</v>
      </c>
      <c r="F16" s="154">
        <v>0</v>
      </c>
      <c r="G16" s="154">
        <v>0</v>
      </c>
      <c r="H16" s="154">
        <v>0</v>
      </c>
      <c r="I16" s="154">
        <v>0</v>
      </c>
      <c r="J16" s="154">
        <v>0</v>
      </c>
      <c r="K16" s="154">
        <v>0</v>
      </c>
      <c r="L16" s="154">
        <v>0</v>
      </c>
      <c r="M16" s="154">
        <v>6000</v>
      </c>
      <c r="N16" s="154">
        <v>0</v>
      </c>
      <c r="O16" s="236"/>
      <c r="P16" s="146"/>
      <c r="Q16" s="153"/>
      <c r="R16" s="150"/>
      <c r="S16" s="150"/>
      <c r="T16" s="150"/>
      <c r="U16" s="153" t="s">
        <v>294</v>
      </c>
      <c r="V16" s="153" t="s">
        <v>303</v>
      </c>
      <c r="W16" s="153"/>
      <c r="X16" s="153"/>
      <c r="Y16" s="153"/>
      <c r="Z16" s="153" t="s">
        <v>387</v>
      </c>
      <c r="AA16" s="153"/>
      <c r="AB16" s="153"/>
      <c r="AC16" s="153"/>
      <c r="AD16" s="153"/>
    </row>
    <row r="17" spans="1:145">
      <c r="A17" s="142">
        <f t="shared" si="0"/>
        <v>16</v>
      </c>
      <c r="B17" s="230" t="s">
        <v>459</v>
      </c>
      <c r="C17" s="230" t="s">
        <v>459</v>
      </c>
      <c r="D17" s="144" t="s">
        <v>290</v>
      </c>
      <c r="E17" s="146" t="s">
        <v>370</v>
      </c>
      <c r="F17" s="154">
        <v>0</v>
      </c>
      <c r="G17" s="154">
        <v>0</v>
      </c>
      <c r="H17" s="154">
        <v>0</v>
      </c>
      <c r="I17" s="154">
        <v>0</v>
      </c>
      <c r="J17" s="154">
        <v>0</v>
      </c>
      <c r="K17" s="154">
        <v>0</v>
      </c>
      <c r="L17" s="154">
        <v>0</v>
      </c>
      <c r="M17" s="154">
        <v>6000</v>
      </c>
      <c r="N17" s="154">
        <v>0</v>
      </c>
      <c r="O17" s="236"/>
      <c r="P17" s="146"/>
      <c r="Q17" s="153"/>
      <c r="R17" s="150"/>
      <c r="S17" s="150"/>
      <c r="T17" s="150"/>
      <c r="U17" s="153" t="s">
        <v>294</v>
      </c>
      <c r="V17" s="153" t="s">
        <v>303</v>
      </c>
      <c r="W17" s="153"/>
      <c r="X17" s="153"/>
      <c r="Y17" s="153"/>
      <c r="Z17" s="153" t="s">
        <v>387</v>
      </c>
      <c r="AA17" s="153"/>
      <c r="AB17" s="153"/>
      <c r="AC17" s="153"/>
      <c r="AD17" s="153"/>
    </row>
    <row r="18" spans="1:145">
      <c r="A18" s="142">
        <f t="shared" si="0"/>
        <v>17</v>
      </c>
      <c r="B18" s="230" t="s">
        <v>580</v>
      </c>
      <c r="C18" s="230" t="s">
        <v>581</v>
      </c>
      <c r="D18" s="144" t="s">
        <v>290</v>
      </c>
      <c r="E18" s="146" t="s">
        <v>370</v>
      </c>
      <c r="F18" s="154">
        <v>0</v>
      </c>
      <c r="G18" s="154">
        <v>0</v>
      </c>
      <c r="H18" s="154">
        <v>0</v>
      </c>
      <c r="I18" s="154">
        <v>0</v>
      </c>
      <c r="J18" s="154">
        <v>0</v>
      </c>
      <c r="K18" s="154">
        <v>0</v>
      </c>
      <c r="L18" s="154">
        <v>0</v>
      </c>
      <c r="M18" s="154">
        <v>3500000</v>
      </c>
      <c r="N18" s="154">
        <v>0</v>
      </c>
      <c r="O18" s="236"/>
      <c r="P18" s="146"/>
      <c r="Q18" s="153"/>
      <c r="R18" s="150"/>
      <c r="S18" s="150"/>
      <c r="T18" s="150"/>
      <c r="U18" s="153"/>
      <c r="V18" s="153"/>
      <c r="W18" s="153"/>
      <c r="X18" s="153"/>
      <c r="Y18" s="153"/>
      <c r="Z18" s="153"/>
      <c r="AA18" s="153"/>
      <c r="AB18" s="153"/>
      <c r="AC18" s="153"/>
      <c r="AD18" s="153"/>
    </row>
    <row r="19" spans="1:145" s="153" customFormat="1">
      <c r="A19" s="142">
        <f t="shared" si="0"/>
        <v>18</v>
      </c>
      <c r="B19" s="230" t="s">
        <v>470</v>
      </c>
      <c r="C19" s="230" t="s">
        <v>467</v>
      </c>
      <c r="D19" s="144" t="s">
        <v>290</v>
      </c>
      <c r="E19" s="248" t="s">
        <v>468</v>
      </c>
      <c r="F19" s="154">
        <v>0</v>
      </c>
      <c r="G19" s="154">
        <v>0</v>
      </c>
      <c r="H19" s="154">
        <v>1000000</v>
      </c>
      <c r="I19" s="154">
        <v>0</v>
      </c>
      <c r="J19" s="154">
        <v>0</v>
      </c>
      <c r="K19" s="154">
        <v>200000</v>
      </c>
      <c r="L19" s="154">
        <v>0</v>
      </c>
      <c r="M19" s="154">
        <v>0</v>
      </c>
      <c r="N19" s="154">
        <v>0</v>
      </c>
      <c r="O19" s="236" t="s">
        <v>629</v>
      </c>
      <c r="P19" s="146" t="s">
        <v>641</v>
      </c>
      <c r="Q19" s="153" t="s">
        <v>330</v>
      </c>
      <c r="R19" s="150">
        <v>200000</v>
      </c>
      <c r="S19" s="150"/>
      <c r="T19" s="150"/>
      <c r="U19" s="153" t="s">
        <v>294</v>
      </c>
      <c r="V19" s="153" t="s">
        <v>303</v>
      </c>
      <c r="Z19" s="153" t="s">
        <v>474</v>
      </c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</row>
    <row r="20" spans="1:145" ht="15.75" customHeight="1">
      <c r="A20" s="142">
        <f t="shared" si="0"/>
        <v>19</v>
      </c>
      <c r="B20" s="230" t="s">
        <v>575</v>
      </c>
      <c r="C20" s="230" t="s">
        <v>576</v>
      </c>
      <c r="D20" s="144" t="s">
        <v>290</v>
      </c>
      <c r="E20" s="146" t="s">
        <v>370</v>
      </c>
      <c r="F20" s="154">
        <v>0</v>
      </c>
      <c r="G20" s="154">
        <v>0</v>
      </c>
      <c r="H20" s="154">
        <v>0</v>
      </c>
      <c r="I20" s="154">
        <v>0</v>
      </c>
      <c r="J20" s="154">
        <v>0</v>
      </c>
      <c r="K20" s="154">
        <v>25000</v>
      </c>
      <c r="L20" s="154">
        <v>0</v>
      </c>
      <c r="M20" s="154">
        <v>0</v>
      </c>
      <c r="N20" s="154">
        <v>0</v>
      </c>
      <c r="O20" s="236"/>
      <c r="P20" s="146"/>
      <c r="Q20" s="153"/>
      <c r="R20" s="150"/>
      <c r="S20" s="150"/>
      <c r="T20" s="150"/>
      <c r="U20" s="153"/>
      <c r="V20" s="153"/>
      <c r="W20" s="153"/>
      <c r="X20" s="153"/>
      <c r="Y20" s="153"/>
      <c r="Z20" s="153"/>
      <c r="AA20" s="153"/>
      <c r="AB20" s="153"/>
      <c r="AC20" s="153"/>
      <c r="AD20" s="153"/>
    </row>
    <row r="21" spans="1:145" ht="15.75" customHeight="1">
      <c r="A21" s="142">
        <f t="shared" si="0"/>
        <v>20</v>
      </c>
      <c r="B21" s="275" t="s">
        <v>577</v>
      </c>
      <c r="C21" s="277" t="s">
        <v>578</v>
      </c>
      <c r="D21" s="144" t="s">
        <v>290</v>
      </c>
      <c r="E21" s="146" t="s">
        <v>370</v>
      </c>
      <c r="F21" s="154">
        <v>0</v>
      </c>
      <c r="G21" s="154">
        <v>0</v>
      </c>
      <c r="H21" s="154">
        <v>0</v>
      </c>
      <c r="I21" s="154">
        <v>0</v>
      </c>
      <c r="J21" s="154">
        <v>0</v>
      </c>
      <c r="K21" s="154">
        <v>300000</v>
      </c>
      <c r="L21" s="154">
        <v>350000</v>
      </c>
      <c r="M21" s="154">
        <v>350000</v>
      </c>
      <c r="N21" s="154">
        <v>400000</v>
      </c>
      <c r="O21" s="236"/>
      <c r="P21" s="146"/>
      <c r="Q21" s="153"/>
      <c r="R21" s="150"/>
      <c r="S21" s="150"/>
      <c r="T21" s="150"/>
      <c r="U21" s="153"/>
      <c r="V21" s="153"/>
      <c r="W21" s="153"/>
      <c r="X21" s="153"/>
      <c r="Y21" s="153"/>
      <c r="Z21" s="153"/>
      <c r="AA21" s="153"/>
      <c r="AB21" s="153"/>
      <c r="AC21" s="153"/>
      <c r="AD21" s="153"/>
    </row>
    <row r="22" spans="1:145" ht="15.75" customHeight="1">
      <c r="A22" s="142">
        <f t="shared" si="0"/>
        <v>21</v>
      </c>
      <c r="B22" s="275" t="s">
        <v>582</v>
      </c>
      <c r="C22" s="277" t="s">
        <v>583</v>
      </c>
      <c r="D22" s="144" t="s">
        <v>290</v>
      </c>
      <c r="E22" s="146" t="s">
        <v>370</v>
      </c>
      <c r="F22" s="154">
        <v>0</v>
      </c>
      <c r="G22" s="154">
        <v>0</v>
      </c>
      <c r="H22" s="154">
        <v>0</v>
      </c>
      <c r="I22" s="154">
        <v>0</v>
      </c>
      <c r="J22" s="154">
        <v>0</v>
      </c>
      <c r="K22" s="154">
        <v>0</v>
      </c>
      <c r="L22" s="154">
        <v>2000000</v>
      </c>
      <c r="M22" s="154">
        <v>0</v>
      </c>
      <c r="N22" s="154">
        <v>0</v>
      </c>
      <c r="O22" s="236"/>
      <c r="P22" s="146"/>
      <c r="Q22" s="153"/>
      <c r="R22" s="150"/>
      <c r="S22" s="150"/>
      <c r="T22" s="150"/>
      <c r="U22" s="153"/>
      <c r="V22" s="153"/>
      <c r="W22" s="153"/>
      <c r="X22" s="153"/>
      <c r="Y22" s="153"/>
      <c r="Z22" s="153"/>
      <c r="AA22" s="153"/>
      <c r="AB22" s="153"/>
      <c r="AC22" s="153"/>
      <c r="AD22" s="153"/>
    </row>
    <row r="23" spans="1:145" ht="15.75" customHeight="1">
      <c r="A23" s="142">
        <f t="shared" si="0"/>
        <v>22</v>
      </c>
      <c r="B23" s="275" t="s">
        <v>584</v>
      </c>
      <c r="C23" s="277" t="s">
        <v>585</v>
      </c>
      <c r="D23" s="144" t="s">
        <v>290</v>
      </c>
      <c r="E23" s="146" t="s">
        <v>370</v>
      </c>
      <c r="F23" s="154">
        <v>0</v>
      </c>
      <c r="G23" s="154">
        <v>0</v>
      </c>
      <c r="H23" s="154">
        <v>0</v>
      </c>
      <c r="I23" s="154">
        <v>0</v>
      </c>
      <c r="J23" s="154">
        <v>0</v>
      </c>
      <c r="K23" s="154">
        <v>0</v>
      </c>
      <c r="L23" s="154">
        <v>100000</v>
      </c>
      <c r="M23" s="154">
        <v>0</v>
      </c>
      <c r="N23" s="154">
        <v>0</v>
      </c>
      <c r="O23" s="236"/>
      <c r="P23" s="146"/>
      <c r="Q23" s="153"/>
      <c r="R23" s="150"/>
      <c r="S23" s="150"/>
      <c r="T23" s="150"/>
      <c r="U23" s="153"/>
      <c r="V23" s="153"/>
      <c r="W23" s="153"/>
      <c r="X23" s="153"/>
      <c r="Y23" s="153"/>
      <c r="Z23" s="153"/>
      <c r="AA23" s="153"/>
      <c r="AB23" s="153"/>
      <c r="AC23" s="153"/>
      <c r="AD23" s="153"/>
    </row>
    <row r="24" spans="1:145" ht="15.75" customHeight="1">
      <c r="A24" s="142">
        <f t="shared" si="0"/>
        <v>23</v>
      </c>
      <c r="B24" s="275" t="s">
        <v>586</v>
      </c>
      <c r="C24" s="277" t="s">
        <v>587</v>
      </c>
      <c r="D24" s="144" t="s">
        <v>290</v>
      </c>
      <c r="E24" s="146" t="s">
        <v>370</v>
      </c>
      <c r="F24" s="154">
        <v>0</v>
      </c>
      <c r="G24" s="154">
        <v>0</v>
      </c>
      <c r="H24" s="154">
        <v>0</v>
      </c>
      <c r="I24" s="154">
        <v>0</v>
      </c>
      <c r="J24" s="154">
        <v>0</v>
      </c>
      <c r="K24" s="154">
        <v>0</v>
      </c>
      <c r="L24" s="154">
        <v>600000</v>
      </c>
      <c r="M24" s="154">
        <v>0</v>
      </c>
      <c r="N24" s="154">
        <v>0</v>
      </c>
      <c r="O24" s="236"/>
      <c r="P24" s="146"/>
      <c r="Q24" s="153"/>
      <c r="R24" s="150"/>
      <c r="S24" s="150"/>
      <c r="T24" s="150"/>
      <c r="U24" s="153"/>
      <c r="V24" s="153"/>
      <c r="W24" s="153"/>
      <c r="X24" s="153"/>
      <c r="Y24" s="153"/>
      <c r="Z24" s="153"/>
      <c r="AA24" s="153"/>
      <c r="AB24" s="153"/>
      <c r="AC24" s="153"/>
      <c r="AD24" s="153"/>
    </row>
    <row r="25" spans="1:145" ht="15.75" customHeight="1">
      <c r="A25" s="142">
        <f t="shared" si="0"/>
        <v>24</v>
      </c>
      <c r="B25" s="275" t="s">
        <v>588</v>
      </c>
      <c r="C25" s="277" t="s">
        <v>589</v>
      </c>
      <c r="D25" s="144" t="s">
        <v>290</v>
      </c>
      <c r="E25" s="146" t="s">
        <v>370</v>
      </c>
      <c r="F25" s="154">
        <v>0</v>
      </c>
      <c r="G25" s="154">
        <v>0</v>
      </c>
      <c r="H25" s="154">
        <v>0</v>
      </c>
      <c r="I25" s="154">
        <v>0</v>
      </c>
      <c r="J25" s="154">
        <v>0</v>
      </c>
      <c r="K25" s="154">
        <v>0</v>
      </c>
      <c r="L25" s="154">
        <v>245000</v>
      </c>
      <c r="M25" s="154">
        <v>0</v>
      </c>
      <c r="N25" s="154">
        <v>0</v>
      </c>
      <c r="O25" s="236"/>
      <c r="P25" s="146"/>
      <c r="Q25" s="153"/>
      <c r="R25" s="150"/>
      <c r="S25" s="150"/>
      <c r="T25" s="150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</row>
    <row r="26" spans="1:145" ht="15.75" customHeight="1">
      <c r="A26" s="142">
        <f t="shared" si="0"/>
        <v>25</v>
      </c>
      <c r="B26" s="275" t="s">
        <v>590</v>
      </c>
      <c r="C26" s="277" t="s">
        <v>591</v>
      </c>
      <c r="D26" s="144" t="s">
        <v>290</v>
      </c>
      <c r="E26" s="146" t="s">
        <v>370</v>
      </c>
      <c r="F26" s="154">
        <v>0</v>
      </c>
      <c r="G26" s="154">
        <v>0</v>
      </c>
      <c r="H26" s="154">
        <v>0</v>
      </c>
      <c r="I26" s="154">
        <v>0</v>
      </c>
      <c r="J26" s="154">
        <v>0</v>
      </c>
      <c r="K26" s="154">
        <v>0</v>
      </c>
      <c r="L26" s="154">
        <v>28000</v>
      </c>
      <c r="M26" s="154">
        <v>28000</v>
      </c>
      <c r="N26" s="154">
        <v>28000</v>
      </c>
      <c r="O26" s="274"/>
      <c r="P26" s="146"/>
      <c r="Q26" s="153"/>
      <c r="R26" s="150"/>
      <c r="S26" s="150"/>
      <c r="T26" s="150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</row>
    <row r="27" spans="1:145" ht="15.75" customHeight="1">
      <c r="A27" s="142">
        <f t="shared" si="0"/>
        <v>26</v>
      </c>
      <c r="B27" s="275" t="s">
        <v>599</v>
      </c>
      <c r="C27" s="275" t="s">
        <v>600</v>
      </c>
      <c r="D27" s="144" t="s">
        <v>290</v>
      </c>
      <c r="E27" s="146" t="s">
        <v>370</v>
      </c>
      <c r="F27" s="154">
        <v>0</v>
      </c>
      <c r="G27" s="154">
        <v>0</v>
      </c>
      <c r="H27" s="154">
        <v>0</v>
      </c>
      <c r="I27" s="154">
        <v>0</v>
      </c>
      <c r="J27" s="154">
        <v>0</v>
      </c>
      <c r="K27" s="154">
        <v>0</v>
      </c>
      <c r="L27" s="154">
        <v>0</v>
      </c>
      <c r="M27" s="154">
        <v>90000</v>
      </c>
      <c r="N27" s="154">
        <v>0</v>
      </c>
      <c r="O27" s="274"/>
      <c r="P27" s="146"/>
      <c r="Q27" s="153"/>
      <c r="R27" s="150"/>
      <c r="S27" s="150"/>
      <c r="T27" s="150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</row>
    <row r="28" spans="1:145" ht="15.75" customHeight="1">
      <c r="A28" s="142">
        <f t="shared" si="0"/>
        <v>27</v>
      </c>
      <c r="B28" s="275" t="s">
        <v>601</v>
      </c>
      <c r="C28" s="275" t="s">
        <v>601</v>
      </c>
      <c r="D28" s="144" t="s">
        <v>290</v>
      </c>
      <c r="E28" s="146" t="s">
        <v>370</v>
      </c>
      <c r="F28" s="154">
        <v>0</v>
      </c>
      <c r="G28" s="154">
        <v>0</v>
      </c>
      <c r="H28" s="154">
        <v>0</v>
      </c>
      <c r="I28" s="154">
        <v>0</v>
      </c>
      <c r="J28" s="154">
        <v>0</v>
      </c>
      <c r="K28" s="154">
        <v>0</v>
      </c>
      <c r="L28" s="154">
        <v>0</v>
      </c>
      <c r="M28" s="154">
        <v>6000</v>
      </c>
      <c r="N28" s="154">
        <v>0</v>
      </c>
      <c r="O28" s="274"/>
      <c r="P28" s="146"/>
      <c r="Q28" s="153"/>
      <c r="R28" s="150"/>
      <c r="S28" s="150"/>
      <c r="T28" s="150"/>
      <c r="U28" s="153"/>
      <c r="V28" s="153"/>
      <c r="W28" s="153"/>
      <c r="X28" s="153"/>
      <c r="Y28" s="153"/>
      <c r="Z28" s="153"/>
      <c r="AA28" s="153"/>
      <c r="AB28" s="153"/>
      <c r="AC28" s="153"/>
      <c r="AD28" s="153"/>
    </row>
    <row r="29" spans="1:145" ht="15.75" customHeight="1">
      <c r="A29" s="142">
        <f t="shared" si="0"/>
        <v>28</v>
      </c>
      <c r="B29" s="275" t="s">
        <v>602</v>
      </c>
      <c r="C29" s="275" t="s">
        <v>603</v>
      </c>
      <c r="D29" s="144" t="s">
        <v>290</v>
      </c>
      <c r="E29" s="146" t="s">
        <v>370</v>
      </c>
      <c r="F29" s="154">
        <v>0</v>
      </c>
      <c r="G29" s="154">
        <v>0</v>
      </c>
      <c r="H29" s="154">
        <v>0</v>
      </c>
      <c r="I29" s="154">
        <v>0</v>
      </c>
      <c r="J29" s="154">
        <v>0</v>
      </c>
      <c r="K29" s="154">
        <v>0</v>
      </c>
      <c r="L29" s="154">
        <v>0</v>
      </c>
      <c r="M29" s="154">
        <v>0</v>
      </c>
      <c r="N29" s="154">
        <v>55000</v>
      </c>
      <c r="O29" s="274"/>
      <c r="P29" s="146"/>
      <c r="Q29" s="153"/>
      <c r="R29" s="150"/>
      <c r="S29" s="150"/>
      <c r="T29" s="150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</row>
    <row r="30" spans="1:145" ht="15.75" customHeight="1">
      <c r="A30" s="142">
        <f t="shared" si="0"/>
        <v>29</v>
      </c>
      <c r="B30" s="275" t="s">
        <v>604</v>
      </c>
      <c r="C30" s="275" t="s">
        <v>604</v>
      </c>
      <c r="D30" s="144" t="s">
        <v>290</v>
      </c>
      <c r="E30" s="146" t="s">
        <v>370</v>
      </c>
      <c r="F30" s="154">
        <v>0</v>
      </c>
      <c r="G30" s="154">
        <v>0</v>
      </c>
      <c r="H30" s="154">
        <v>0</v>
      </c>
      <c r="I30" s="154">
        <v>0</v>
      </c>
      <c r="J30" s="154">
        <v>0</v>
      </c>
      <c r="K30" s="154">
        <v>0</v>
      </c>
      <c r="L30" s="154">
        <v>0</v>
      </c>
      <c r="M30" s="154">
        <v>0</v>
      </c>
      <c r="N30" s="154">
        <v>6000</v>
      </c>
      <c r="O30" s="274"/>
      <c r="P30" s="146"/>
      <c r="Q30" s="153"/>
      <c r="R30" s="150"/>
      <c r="S30" s="150"/>
      <c r="T30" s="150"/>
      <c r="U30" s="153"/>
      <c r="V30" s="153"/>
      <c r="W30" s="153"/>
      <c r="X30" s="153"/>
      <c r="Y30" s="153"/>
      <c r="Z30" s="153"/>
      <c r="AA30" s="153"/>
      <c r="AB30" s="153"/>
      <c r="AC30" s="153"/>
      <c r="AD30" s="153"/>
    </row>
    <row r="31" spans="1:145">
      <c r="A31" s="142">
        <f t="shared" si="0"/>
        <v>30</v>
      </c>
      <c r="B31" s="230" t="s">
        <v>296</v>
      </c>
      <c r="C31" s="230" t="s">
        <v>308</v>
      </c>
      <c r="D31" s="144" t="s">
        <v>295</v>
      </c>
      <c r="E31" s="146" t="s">
        <v>338</v>
      </c>
      <c r="F31" s="150">
        <v>14000</v>
      </c>
      <c r="G31" s="150">
        <v>19762.099999999999</v>
      </c>
      <c r="H31" s="154">
        <v>0</v>
      </c>
      <c r="I31" s="154">
        <v>0</v>
      </c>
      <c r="J31" s="154">
        <v>0</v>
      </c>
      <c r="K31" s="154">
        <v>0</v>
      </c>
      <c r="L31" s="154">
        <v>0</v>
      </c>
      <c r="M31" s="154">
        <v>0</v>
      </c>
      <c r="N31" s="154">
        <v>0</v>
      </c>
      <c r="O31" s="236" t="s">
        <v>348</v>
      </c>
      <c r="P31" s="146" t="s">
        <v>354</v>
      </c>
      <c r="Q31" s="153" t="s">
        <v>330</v>
      </c>
      <c r="R31" s="150">
        <v>5762.1100000000006</v>
      </c>
      <c r="S31" s="150">
        <v>5762.1100000000006</v>
      </c>
      <c r="T31" s="150">
        <v>5762.1100000000006</v>
      </c>
      <c r="U31" s="153" t="s">
        <v>294</v>
      </c>
      <c r="V31" s="153" t="s">
        <v>297</v>
      </c>
      <c r="W31" s="153"/>
      <c r="X31" s="153"/>
      <c r="Y31" s="153" t="s">
        <v>23</v>
      </c>
      <c r="Z31" s="153" t="s">
        <v>328</v>
      </c>
      <c r="AA31" s="153"/>
      <c r="AB31" s="153"/>
      <c r="AC31" s="153"/>
      <c r="AD31" s="153"/>
    </row>
    <row r="32" spans="1:145">
      <c r="A32" s="142">
        <f t="shared" si="0"/>
        <v>31</v>
      </c>
      <c r="B32" s="230" t="s">
        <v>288</v>
      </c>
      <c r="C32" s="230" t="s">
        <v>289</v>
      </c>
      <c r="D32" s="144" t="s">
        <v>295</v>
      </c>
      <c r="E32" s="146" t="s">
        <v>339</v>
      </c>
      <c r="F32" s="150">
        <v>120000</v>
      </c>
      <c r="G32" s="150">
        <v>84017.46</v>
      </c>
      <c r="H32" s="154">
        <v>0</v>
      </c>
      <c r="I32" s="154">
        <v>0</v>
      </c>
      <c r="J32" s="154">
        <v>0</v>
      </c>
      <c r="K32" s="154">
        <v>0</v>
      </c>
      <c r="L32" s="154">
        <v>0</v>
      </c>
      <c r="M32" s="154">
        <v>0</v>
      </c>
      <c r="N32" s="154">
        <v>0</v>
      </c>
      <c r="O32" s="236"/>
      <c r="P32" s="146"/>
      <c r="Q32" s="153"/>
      <c r="R32" s="150"/>
      <c r="S32" s="150"/>
      <c r="T32" s="150"/>
      <c r="U32" s="153" t="s">
        <v>294</v>
      </c>
      <c r="V32" s="153" t="s">
        <v>297</v>
      </c>
      <c r="W32" s="153"/>
      <c r="X32" s="153" t="s">
        <v>299</v>
      </c>
      <c r="Y32" s="153" t="s">
        <v>23</v>
      </c>
      <c r="Z32" s="153" t="s">
        <v>298</v>
      </c>
      <c r="AA32" s="153"/>
      <c r="AB32" s="153"/>
      <c r="AC32" s="153"/>
      <c r="AD32" s="153"/>
    </row>
    <row r="33" spans="1:30">
      <c r="A33" s="142">
        <f t="shared" si="0"/>
        <v>32</v>
      </c>
      <c r="B33" s="230" t="s">
        <v>291</v>
      </c>
      <c r="C33" s="230" t="s">
        <v>291</v>
      </c>
      <c r="D33" s="144" t="s">
        <v>295</v>
      </c>
      <c r="E33" s="146" t="s">
        <v>339</v>
      </c>
      <c r="F33" s="150">
        <v>20000</v>
      </c>
      <c r="G33" s="150">
        <v>23455</v>
      </c>
      <c r="H33" s="154">
        <v>0</v>
      </c>
      <c r="I33" s="154">
        <v>0</v>
      </c>
      <c r="J33" s="154">
        <v>0</v>
      </c>
      <c r="K33" s="154">
        <v>0</v>
      </c>
      <c r="L33" s="154">
        <v>0</v>
      </c>
      <c r="M33" s="154">
        <v>0</v>
      </c>
      <c r="N33" s="154">
        <v>0</v>
      </c>
      <c r="O33" s="236"/>
      <c r="P33" s="146"/>
      <c r="Q33" s="153"/>
      <c r="R33" s="150"/>
      <c r="S33" s="150"/>
      <c r="T33" s="150"/>
      <c r="U33" s="153" t="s">
        <v>294</v>
      </c>
      <c r="V33" s="153" t="s">
        <v>297</v>
      </c>
      <c r="W33" s="153"/>
      <c r="X33" s="153"/>
      <c r="Y33" s="153" t="s">
        <v>23</v>
      </c>
      <c r="Z33" s="153" t="s">
        <v>298</v>
      </c>
      <c r="AA33" s="153"/>
      <c r="AB33" s="153"/>
      <c r="AC33" s="153"/>
      <c r="AD33" s="153"/>
    </row>
    <row r="34" spans="1:30">
      <c r="A34" s="142">
        <f t="shared" si="0"/>
        <v>33</v>
      </c>
      <c r="B34" s="230" t="s">
        <v>460</v>
      </c>
      <c r="C34" s="230" t="s">
        <v>482</v>
      </c>
      <c r="D34" s="144" t="s">
        <v>295</v>
      </c>
      <c r="E34" s="146" t="s">
        <v>339</v>
      </c>
      <c r="F34" s="154">
        <v>0</v>
      </c>
      <c r="G34" s="154">
        <v>0</v>
      </c>
      <c r="H34" s="154">
        <v>9365</v>
      </c>
      <c r="I34" s="154">
        <v>7860</v>
      </c>
      <c r="J34" s="154">
        <v>7860</v>
      </c>
      <c r="K34" s="154">
        <v>0</v>
      </c>
      <c r="L34" s="154">
        <v>0</v>
      </c>
      <c r="M34" s="154">
        <v>0</v>
      </c>
      <c r="N34" s="154">
        <v>0</v>
      </c>
      <c r="O34" s="236"/>
      <c r="P34" s="146"/>
      <c r="Q34" s="153"/>
      <c r="R34" s="150"/>
      <c r="S34" s="150"/>
      <c r="T34" s="150"/>
      <c r="U34" s="153" t="s">
        <v>294</v>
      </c>
      <c r="V34" s="153" t="s">
        <v>483</v>
      </c>
      <c r="W34" s="153"/>
      <c r="X34" s="153"/>
      <c r="Y34" s="153"/>
      <c r="Z34" s="153" t="s">
        <v>387</v>
      </c>
      <c r="AA34" s="153"/>
      <c r="AB34" s="153"/>
      <c r="AC34" s="153"/>
      <c r="AD34" s="153"/>
    </row>
    <row r="35" spans="1:30">
      <c r="A35" s="142">
        <f t="shared" si="0"/>
        <v>34</v>
      </c>
      <c r="B35" s="230" t="s">
        <v>460</v>
      </c>
      <c r="C35" s="230" t="s">
        <v>544</v>
      </c>
      <c r="D35" s="144" t="s">
        <v>295</v>
      </c>
      <c r="E35" s="146" t="s">
        <v>338</v>
      </c>
      <c r="F35" s="154">
        <v>0</v>
      </c>
      <c r="G35" s="154">
        <v>0</v>
      </c>
      <c r="H35" s="154">
        <v>0</v>
      </c>
      <c r="I35" s="154">
        <v>0</v>
      </c>
      <c r="J35" s="154">
        <v>0</v>
      </c>
      <c r="K35" s="154">
        <v>53000</v>
      </c>
      <c r="L35" s="154">
        <v>0</v>
      </c>
      <c r="M35" s="154">
        <v>0</v>
      </c>
      <c r="N35" s="154">
        <v>0</v>
      </c>
      <c r="O35" s="236"/>
      <c r="P35" s="146"/>
      <c r="Q35" s="153"/>
      <c r="R35" s="150"/>
      <c r="S35" s="150"/>
      <c r="T35" s="150"/>
      <c r="U35" s="153" t="s">
        <v>294</v>
      </c>
      <c r="V35" s="153" t="s">
        <v>483</v>
      </c>
      <c r="W35" s="153"/>
      <c r="X35" s="153"/>
      <c r="Y35" s="153"/>
      <c r="Z35" s="153" t="s">
        <v>387</v>
      </c>
      <c r="AA35" s="153"/>
      <c r="AB35" s="153"/>
      <c r="AC35" s="153"/>
      <c r="AD35" s="153"/>
    </row>
    <row r="36" spans="1:30">
      <c r="A36" s="142">
        <f t="shared" si="0"/>
        <v>35</v>
      </c>
      <c r="B36" s="275" t="s">
        <v>573</v>
      </c>
      <c r="C36" s="275" t="s">
        <v>574</v>
      </c>
      <c r="D36" s="144" t="s">
        <v>295</v>
      </c>
      <c r="E36" s="146" t="s">
        <v>338</v>
      </c>
      <c r="F36" s="154">
        <v>0</v>
      </c>
      <c r="G36" s="154">
        <v>0</v>
      </c>
      <c r="H36" s="154">
        <v>0</v>
      </c>
      <c r="I36" s="154">
        <v>0</v>
      </c>
      <c r="J36" s="154">
        <v>0</v>
      </c>
      <c r="K36" s="154">
        <v>0</v>
      </c>
      <c r="L36" s="154">
        <v>150000</v>
      </c>
      <c r="M36" s="154">
        <v>350000</v>
      </c>
      <c r="N36" s="154">
        <v>0</v>
      </c>
      <c r="O36" s="236"/>
      <c r="P36" s="146"/>
      <c r="Q36" s="153"/>
      <c r="R36" s="150"/>
      <c r="S36" s="150"/>
      <c r="T36" s="150"/>
      <c r="U36" s="153" t="s">
        <v>294</v>
      </c>
      <c r="V36" s="153" t="s">
        <v>483</v>
      </c>
      <c r="W36" s="153"/>
      <c r="X36" s="153"/>
      <c r="Y36" s="153"/>
      <c r="Z36" s="153" t="s">
        <v>387</v>
      </c>
      <c r="AA36" s="153"/>
      <c r="AB36" s="153"/>
      <c r="AC36" s="153"/>
      <c r="AD36" s="153"/>
    </row>
    <row r="37" spans="1:30">
      <c r="A37" s="142">
        <f t="shared" si="0"/>
        <v>36</v>
      </c>
      <c r="B37" s="275" t="s">
        <v>569</v>
      </c>
      <c r="C37" s="275" t="s">
        <v>570</v>
      </c>
      <c r="D37" s="144" t="s">
        <v>295</v>
      </c>
      <c r="E37" s="146" t="s">
        <v>338</v>
      </c>
      <c r="F37" s="154">
        <v>0</v>
      </c>
      <c r="G37" s="154">
        <v>0</v>
      </c>
      <c r="H37" s="154">
        <v>0</v>
      </c>
      <c r="I37" s="154">
        <v>0</v>
      </c>
      <c r="J37" s="154">
        <v>0</v>
      </c>
      <c r="K37" s="154">
        <v>8000</v>
      </c>
      <c r="L37" s="154">
        <v>0</v>
      </c>
      <c r="M37" s="154">
        <v>0</v>
      </c>
      <c r="N37" s="154">
        <v>0</v>
      </c>
      <c r="O37" s="236"/>
      <c r="P37" s="146"/>
      <c r="Q37" s="153"/>
      <c r="R37" s="150"/>
      <c r="S37" s="150"/>
      <c r="T37" s="150"/>
      <c r="U37" s="153"/>
      <c r="V37" s="153"/>
      <c r="W37" s="153"/>
      <c r="X37" s="153"/>
      <c r="Y37" s="153"/>
      <c r="Z37" s="153"/>
      <c r="AA37" s="153"/>
      <c r="AB37" s="153"/>
      <c r="AC37" s="153"/>
      <c r="AD37" s="153"/>
    </row>
    <row r="38" spans="1:30">
      <c r="A38" s="142">
        <f t="shared" si="0"/>
        <v>37</v>
      </c>
      <c r="B38" s="275" t="s">
        <v>571</v>
      </c>
      <c r="C38" s="275" t="s">
        <v>572</v>
      </c>
      <c r="D38" s="144" t="s">
        <v>295</v>
      </c>
      <c r="E38" s="146" t="s">
        <v>338</v>
      </c>
      <c r="F38" s="154">
        <v>0</v>
      </c>
      <c r="G38" s="154">
        <v>0</v>
      </c>
      <c r="H38" s="154">
        <v>0</v>
      </c>
      <c r="I38" s="154">
        <v>0</v>
      </c>
      <c r="J38" s="154">
        <v>0</v>
      </c>
      <c r="K38" s="276">
        <v>25000</v>
      </c>
      <c r="L38" s="154">
        <v>0</v>
      </c>
      <c r="M38" s="154">
        <v>0</v>
      </c>
      <c r="N38" s="154">
        <v>0</v>
      </c>
      <c r="O38" s="236"/>
      <c r="P38" s="146"/>
      <c r="Q38" s="153"/>
      <c r="R38" s="150"/>
      <c r="S38" s="150"/>
      <c r="T38" s="150"/>
      <c r="U38" s="153"/>
      <c r="V38" s="153"/>
      <c r="W38" s="153"/>
      <c r="X38" s="153"/>
      <c r="Y38" s="153"/>
      <c r="Z38" s="153"/>
      <c r="AA38" s="153"/>
      <c r="AB38" s="153"/>
      <c r="AC38" s="153"/>
      <c r="AD38" s="153"/>
    </row>
    <row r="39" spans="1:30">
      <c r="A39" s="142">
        <f t="shared" si="0"/>
        <v>38</v>
      </c>
      <c r="B39" s="275" t="s">
        <v>592</v>
      </c>
      <c r="C39" s="275" t="s">
        <v>593</v>
      </c>
      <c r="D39" s="144" t="s">
        <v>295</v>
      </c>
      <c r="E39" s="146" t="s">
        <v>338</v>
      </c>
      <c r="F39" s="154">
        <v>0</v>
      </c>
      <c r="G39" s="154">
        <v>0</v>
      </c>
      <c r="H39" s="154">
        <v>0</v>
      </c>
      <c r="I39" s="154">
        <v>0</v>
      </c>
      <c r="J39" s="154">
        <v>0</v>
      </c>
      <c r="K39" s="154">
        <v>0</v>
      </c>
      <c r="L39" s="154">
        <v>16500</v>
      </c>
      <c r="M39" s="154">
        <v>0</v>
      </c>
      <c r="N39" s="154">
        <v>0</v>
      </c>
      <c r="O39" s="236"/>
      <c r="P39" s="146"/>
      <c r="Q39" s="153"/>
      <c r="R39" s="150"/>
      <c r="S39" s="150"/>
      <c r="T39" s="150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</row>
    <row r="40" spans="1:30">
      <c r="A40" s="142">
        <f t="shared" si="0"/>
        <v>39</v>
      </c>
      <c r="B40" s="275" t="s">
        <v>594</v>
      </c>
      <c r="C40" s="275" t="s">
        <v>595</v>
      </c>
      <c r="D40" s="144" t="s">
        <v>295</v>
      </c>
      <c r="E40" s="146" t="s">
        <v>338</v>
      </c>
      <c r="F40" s="154">
        <v>0</v>
      </c>
      <c r="G40" s="154">
        <v>0</v>
      </c>
      <c r="H40" s="154">
        <v>0</v>
      </c>
      <c r="I40" s="154">
        <v>0</v>
      </c>
      <c r="J40" s="154">
        <v>0</v>
      </c>
      <c r="K40" s="154">
        <v>0</v>
      </c>
      <c r="L40" s="154">
        <v>1500000</v>
      </c>
      <c r="M40" s="154">
        <v>0</v>
      </c>
      <c r="N40" s="154">
        <v>0</v>
      </c>
      <c r="O40" s="236"/>
      <c r="P40" s="146"/>
      <c r="Q40" s="153"/>
      <c r="R40" s="150"/>
      <c r="S40" s="150"/>
      <c r="T40" s="150"/>
      <c r="U40" s="153"/>
      <c r="V40" s="153"/>
      <c r="W40" s="153"/>
      <c r="X40" s="153"/>
      <c r="Y40" s="153"/>
      <c r="Z40" s="153"/>
      <c r="AA40" s="153"/>
      <c r="AB40" s="153"/>
      <c r="AC40" s="153"/>
      <c r="AD40" s="153"/>
    </row>
    <row r="41" spans="1:30" ht="30.75" thickBot="1">
      <c r="A41" s="142">
        <f t="shared" si="0"/>
        <v>40</v>
      </c>
      <c r="B41" s="275" t="s">
        <v>596</v>
      </c>
      <c r="C41" s="275" t="s">
        <v>597</v>
      </c>
      <c r="D41" s="144" t="s">
        <v>598</v>
      </c>
      <c r="E41" s="146" t="s">
        <v>639</v>
      </c>
      <c r="F41" s="154">
        <v>0</v>
      </c>
      <c r="G41" s="154">
        <v>0</v>
      </c>
      <c r="H41" s="154">
        <v>0</v>
      </c>
      <c r="I41" s="154">
        <v>0</v>
      </c>
      <c r="J41" s="154">
        <v>0</v>
      </c>
      <c r="K41" s="154">
        <v>0</v>
      </c>
      <c r="L41" s="154"/>
      <c r="M41" s="154">
        <v>1250000</v>
      </c>
      <c r="N41" s="154">
        <v>0</v>
      </c>
      <c r="O41" s="236"/>
      <c r="P41" s="146"/>
      <c r="Q41" s="153"/>
      <c r="R41" s="150"/>
      <c r="S41" s="150"/>
      <c r="T41" s="150"/>
      <c r="U41" s="153"/>
      <c r="V41" s="153"/>
      <c r="W41" s="153"/>
      <c r="X41" s="153"/>
      <c r="Y41" s="153"/>
      <c r="Z41" s="153"/>
      <c r="AA41" s="153"/>
      <c r="AB41" s="153"/>
      <c r="AC41" s="153"/>
      <c r="AD41" s="153"/>
    </row>
    <row r="42" spans="1:30" ht="15.75" thickBot="1">
      <c r="A42" s="346" t="s">
        <v>310</v>
      </c>
      <c r="B42" s="347"/>
      <c r="C42" s="347"/>
      <c r="D42" s="347"/>
      <c r="E42" s="348"/>
      <c r="F42" s="244">
        <f t="shared" ref="F42:N42" si="1">SUM(F2:F41)</f>
        <v>1954000</v>
      </c>
      <c r="G42" s="244">
        <f t="shared" si="1"/>
        <v>536298.44000000006</v>
      </c>
      <c r="H42" s="244">
        <f t="shared" si="1"/>
        <v>2107365</v>
      </c>
      <c r="I42" s="244">
        <f t="shared" si="1"/>
        <v>117124.04</v>
      </c>
      <c r="J42" s="244">
        <f t="shared" si="1"/>
        <v>157990.58000000002</v>
      </c>
      <c r="K42" s="244">
        <f t="shared" si="1"/>
        <v>1966540.04</v>
      </c>
      <c r="L42" s="244">
        <f t="shared" si="1"/>
        <v>5158500</v>
      </c>
      <c r="M42" s="244">
        <f t="shared" si="1"/>
        <v>5756000</v>
      </c>
      <c r="N42" s="244">
        <f t="shared" si="1"/>
        <v>489000</v>
      </c>
      <c r="O42" s="250"/>
      <c r="P42" s="250"/>
      <c r="Q42" s="250"/>
      <c r="R42" s="244">
        <f>SUM(R2:R41)</f>
        <v>1115762.1100000001</v>
      </c>
      <c r="S42" s="244">
        <f>SUM(S2:S41)</f>
        <v>15762.11</v>
      </c>
      <c r="T42" s="244">
        <f>SUM(T2:T41)</f>
        <v>915762.11</v>
      </c>
      <c r="U42" s="250"/>
      <c r="V42" s="250"/>
      <c r="W42" s="250"/>
      <c r="X42" s="250"/>
      <c r="Y42" s="250"/>
      <c r="Z42" s="250"/>
      <c r="AA42" s="250"/>
      <c r="AB42" s="250"/>
      <c r="AC42" s="250"/>
      <c r="AD42" s="251"/>
    </row>
    <row r="44" spans="1:30">
      <c r="I44" s="209"/>
      <c r="J44" s="209"/>
      <c r="K44" s="209"/>
      <c r="L44" s="209"/>
      <c r="M44" s="209"/>
      <c r="N44" s="209"/>
    </row>
    <row r="45" spans="1:30">
      <c r="J45" s="209"/>
      <c r="M45" s="209"/>
    </row>
    <row r="47" spans="1:30">
      <c r="J47" s="209"/>
      <c r="K47" s="209"/>
      <c r="L47" s="209"/>
      <c r="M47" s="209"/>
      <c r="N47" s="209"/>
    </row>
  </sheetData>
  <autoFilter ref="A1:EO42" xr:uid="{3A575697-0931-4AA3-97FF-C80970DE248F}"/>
  <mergeCells count="9">
    <mergeCell ref="S3:S4"/>
    <mergeCell ref="T3:T4"/>
    <mergeCell ref="U3:U4"/>
    <mergeCell ref="V3:V4"/>
    <mergeCell ref="A42:E42"/>
    <mergeCell ref="O3:O4"/>
    <mergeCell ref="P3:P4"/>
    <mergeCell ref="Q3:Q4"/>
    <mergeCell ref="R3:R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FE0D6-E813-4BD3-977D-D823AEA0D9C2}">
  <sheetPr>
    <tabColor theme="5" tint="-0.499984740745262"/>
  </sheetPr>
  <dimension ref="A1:AD11"/>
  <sheetViews>
    <sheetView topLeftCell="B1" workbookViewId="0">
      <selection activeCell="Q14" sqref="Q14"/>
    </sheetView>
  </sheetViews>
  <sheetFormatPr defaultRowHeight="15"/>
  <cols>
    <col min="2" max="3" width="51" bestFit="1" customWidth="1"/>
    <col min="4" max="4" width="15.7109375" bestFit="1" customWidth="1"/>
    <col min="5" max="5" width="15.7109375" customWidth="1"/>
    <col min="6" max="6" width="12.5703125" bestFit="1" customWidth="1"/>
    <col min="7" max="7" width="12.5703125" customWidth="1"/>
    <col min="8" max="8" width="10.5703125" bestFit="1" customWidth="1"/>
    <col min="9" max="10" width="12.7109375" customWidth="1"/>
    <col min="11" max="11" width="12" bestFit="1" customWidth="1"/>
    <col min="12" max="14" width="9.140625" customWidth="1"/>
    <col min="15" max="15" width="11.7109375" bestFit="1" customWidth="1"/>
    <col min="16" max="16" width="11.85546875" bestFit="1" customWidth="1"/>
    <col min="17" max="19" width="11.85546875" customWidth="1"/>
    <col min="20" max="20" width="13.7109375" bestFit="1" customWidth="1"/>
    <col min="21" max="21" width="12.42578125" bestFit="1" customWidth="1"/>
    <col min="22" max="22" width="15.7109375" bestFit="1" customWidth="1"/>
    <col min="23" max="23" width="14.28515625" bestFit="1" customWidth="1"/>
    <col min="24" max="24" width="10.5703125" bestFit="1" customWidth="1"/>
    <col min="25" max="25" width="13.140625" bestFit="1" customWidth="1"/>
    <col min="26" max="26" width="18.5703125" customWidth="1"/>
    <col min="27" max="27" width="14.5703125" bestFit="1" customWidth="1"/>
    <col min="28" max="28" width="24.140625" bestFit="1" customWidth="1"/>
    <col min="29" max="29" width="19" bestFit="1" customWidth="1"/>
    <col min="30" max="30" width="6.28515625" bestFit="1" customWidth="1"/>
  </cols>
  <sheetData>
    <row r="1" spans="1:30" ht="44.25" customHeight="1" thickBot="1">
      <c r="A1" s="246" t="s">
        <v>0</v>
      </c>
      <c r="B1" s="246" t="s">
        <v>1</v>
      </c>
      <c r="C1" s="238" t="s">
        <v>2</v>
      </c>
      <c r="D1" s="246" t="s">
        <v>4</v>
      </c>
      <c r="E1" s="238" t="s">
        <v>336</v>
      </c>
      <c r="F1" s="240" t="s">
        <v>346</v>
      </c>
      <c r="G1" s="240" t="s">
        <v>347</v>
      </c>
      <c r="H1" s="240" t="s">
        <v>499</v>
      </c>
      <c r="I1" s="240" t="s">
        <v>494</v>
      </c>
      <c r="J1" s="240" t="s">
        <v>503</v>
      </c>
      <c r="K1" s="240" t="s">
        <v>500</v>
      </c>
      <c r="L1" s="240" t="s">
        <v>501</v>
      </c>
      <c r="M1" s="240" t="s">
        <v>502</v>
      </c>
      <c r="N1" s="240" t="s">
        <v>504</v>
      </c>
      <c r="O1" s="247" t="s">
        <v>5</v>
      </c>
      <c r="P1" s="238" t="s">
        <v>336</v>
      </c>
      <c r="Q1" s="247" t="s">
        <v>6</v>
      </c>
      <c r="R1" s="240" t="s">
        <v>356</v>
      </c>
      <c r="S1" s="240" t="s">
        <v>357</v>
      </c>
      <c r="T1" s="240" t="s">
        <v>358</v>
      </c>
      <c r="U1" s="246" t="s">
        <v>8</v>
      </c>
      <c r="V1" s="246" t="s">
        <v>9</v>
      </c>
      <c r="W1" s="246" t="s">
        <v>10</v>
      </c>
      <c r="X1" s="246" t="s">
        <v>11</v>
      </c>
      <c r="Y1" s="246" t="s">
        <v>12</v>
      </c>
      <c r="Z1" s="238" t="s">
        <v>13</v>
      </c>
      <c r="AA1" s="246" t="s">
        <v>14</v>
      </c>
      <c r="AB1" s="238" t="s">
        <v>15</v>
      </c>
      <c r="AC1" s="238" t="s">
        <v>16</v>
      </c>
      <c r="AD1" s="238" t="s">
        <v>17</v>
      </c>
    </row>
    <row r="2" spans="1:30">
      <c r="A2" s="142">
        <v>1</v>
      </c>
      <c r="B2" s="230" t="s">
        <v>327</v>
      </c>
      <c r="C2" s="230" t="s">
        <v>327</v>
      </c>
      <c r="D2" s="144" t="s">
        <v>362</v>
      </c>
      <c r="E2" s="146" t="s">
        <v>360</v>
      </c>
      <c r="F2" s="150">
        <v>522080</v>
      </c>
      <c r="G2" s="150">
        <v>22974</v>
      </c>
      <c r="H2" s="154">
        <v>500545</v>
      </c>
      <c r="I2" s="154">
        <v>0</v>
      </c>
      <c r="J2" s="154">
        <v>0</v>
      </c>
      <c r="K2" s="154">
        <v>0</v>
      </c>
      <c r="L2" s="154">
        <v>0</v>
      </c>
      <c r="M2" s="154">
        <v>0</v>
      </c>
      <c r="N2" s="154">
        <v>0</v>
      </c>
      <c r="O2" s="236"/>
      <c r="P2" s="146"/>
      <c r="Q2" s="153"/>
      <c r="R2" s="150"/>
      <c r="S2" s="150"/>
      <c r="T2" s="150"/>
      <c r="U2" s="144" t="s">
        <v>362</v>
      </c>
      <c r="V2" s="153" t="s">
        <v>303</v>
      </c>
      <c r="W2" s="153"/>
      <c r="X2" s="153"/>
      <c r="Y2" s="153"/>
      <c r="Z2" s="153" t="s">
        <v>329</v>
      </c>
      <c r="AA2" s="153"/>
      <c r="AB2" s="153"/>
      <c r="AC2" s="153"/>
      <c r="AD2" s="153"/>
    </row>
    <row r="3" spans="1:30">
      <c r="A3" s="142">
        <f>A2+1</f>
        <v>2</v>
      </c>
      <c r="B3" s="230" t="s">
        <v>331</v>
      </c>
      <c r="C3" s="230" t="s">
        <v>331</v>
      </c>
      <c r="D3" s="144" t="s">
        <v>362</v>
      </c>
      <c r="E3" s="146" t="s">
        <v>360</v>
      </c>
      <c r="F3" s="150">
        <v>177920</v>
      </c>
      <c r="G3" s="150">
        <v>177945</v>
      </c>
      <c r="H3" s="154">
        <v>0</v>
      </c>
      <c r="I3" s="154">
        <v>0</v>
      </c>
      <c r="J3" s="154">
        <v>76536</v>
      </c>
      <c r="K3" s="154">
        <v>0</v>
      </c>
      <c r="L3" s="154">
        <v>0</v>
      </c>
      <c r="M3" s="154">
        <v>0</v>
      </c>
      <c r="N3" s="154">
        <v>0</v>
      </c>
      <c r="O3" s="236"/>
      <c r="P3" s="146"/>
      <c r="Q3" s="153"/>
      <c r="R3" s="150"/>
      <c r="S3" s="150"/>
      <c r="T3" s="150"/>
      <c r="U3" s="144" t="s">
        <v>362</v>
      </c>
      <c r="V3" s="153" t="s">
        <v>303</v>
      </c>
      <c r="W3" s="153"/>
      <c r="X3" s="153"/>
      <c r="Y3" s="153"/>
      <c r="Z3" s="153" t="s">
        <v>329</v>
      </c>
      <c r="AA3" s="153"/>
      <c r="AB3" s="153"/>
      <c r="AC3" s="153"/>
      <c r="AD3" s="153"/>
    </row>
    <row r="4" spans="1:30">
      <c r="A4" s="142">
        <f t="shared" ref="A4:A6" si="0">A3+1</f>
        <v>3</v>
      </c>
      <c r="B4" s="230" t="s">
        <v>614</v>
      </c>
      <c r="C4" s="230" t="s">
        <v>614</v>
      </c>
      <c r="D4" s="144" t="s">
        <v>362</v>
      </c>
      <c r="E4" s="146" t="s">
        <v>360</v>
      </c>
      <c r="F4" s="154">
        <v>0</v>
      </c>
      <c r="G4" s="154">
        <v>0</v>
      </c>
      <c r="H4" s="154">
        <v>0</v>
      </c>
      <c r="I4" s="154">
        <v>0</v>
      </c>
      <c r="J4" s="154">
        <v>0</v>
      </c>
      <c r="K4" s="154">
        <f>90000+35000</f>
        <v>125000</v>
      </c>
      <c r="L4" s="154">
        <v>0</v>
      </c>
      <c r="M4" s="154">
        <v>0</v>
      </c>
      <c r="N4" s="154">
        <v>0</v>
      </c>
      <c r="O4" s="236"/>
      <c r="P4" s="146"/>
      <c r="Q4" s="153"/>
      <c r="R4" s="150"/>
      <c r="S4" s="150"/>
      <c r="T4" s="150"/>
      <c r="U4" s="144"/>
      <c r="V4" s="153"/>
      <c r="W4" s="153"/>
      <c r="X4" s="153"/>
      <c r="Y4" s="153"/>
      <c r="Z4" s="153"/>
      <c r="AA4" s="153"/>
      <c r="AB4" s="153"/>
      <c r="AC4" s="153"/>
      <c r="AD4" s="153"/>
    </row>
    <row r="5" spans="1:30">
      <c r="A5" s="142">
        <f t="shared" si="0"/>
        <v>4</v>
      </c>
      <c r="B5" s="230" t="s">
        <v>615</v>
      </c>
      <c r="C5" s="230" t="s">
        <v>615</v>
      </c>
      <c r="D5" s="144" t="s">
        <v>362</v>
      </c>
      <c r="E5" s="146" t="s">
        <v>360</v>
      </c>
      <c r="F5" s="150">
        <v>0</v>
      </c>
      <c r="G5" s="150">
        <v>0</v>
      </c>
      <c r="H5" s="150">
        <v>0</v>
      </c>
      <c r="I5" s="150">
        <v>0</v>
      </c>
      <c r="J5" s="150">
        <v>0</v>
      </c>
      <c r="K5" s="154">
        <v>99000</v>
      </c>
      <c r="L5" s="154">
        <v>0</v>
      </c>
      <c r="M5" s="154">
        <v>0</v>
      </c>
      <c r="N5" s="154">
        <v>0</v>
      </c>
      <c r="O5" s="236" t="s">
        <v>628</v>
      </c>
      <c r="P5" s="146"/>
      <c r="Q5" s="153" t="s">
        <v>330</v>
      </c>
      <c r="R5" s="150">
        <v>860000</v>
      </c>
      <c r="S5" s="150"/>
      <c r="T5" s="150"/>
      <c r="U5" s="144"/>
      <c r="V5" s="153"/>
      <c r="W5" s="153"/>
      <c r="X5" s="153"/>
      <c r="Y5" s="153"/>
      <c r="Z5" s="153"/>
      <c r="AA5" s="153"/>
      <c r="AB5" s="153"/>
      <c r="AC5" s="153"/>
      <c r="AD5" s="153"/>
    </row>
    <row r="6" spans="1:30" ht="15.75" thickBot="1">
      <c r="A6" s="142">
        <f t="shared" si="0"/>
        <v>5</v>
      </c>
      <c r="B6" s="230" t="s">
        <v>616</v>
      </c>
      <c r="C6" s="230" t="s">
        <v>616</v>
      </c>
      <c r="D6" s="144" t="s">
        <v>362</v>
      </c>
      <c r="E6" s="146" t="s">
        <v>360</v>
      </c>
      <c r="F6" s="150">
        <v>0</v>
      </c>
      <c r="G6" s="150">
        <v>0</v>
      </c>
      <c r="H6" s="150">
        <v>0</v>
      </c>
      <c r="I6" s="150">
        <v>0</v>
      </c>
      <c r="J6" s="150">
        <v>0</v>
      </c>
      <c r="K6" s="154">
        <f>774000+284545</f>
        <v>1058545</v>
      </c>
      <c r="L6" s="154">
        <v>0</v>
      </c>
      <c r="M6" s="154">
        <v>0</v>
      </c>
      <c r="N6" s="154">
        <v>0</v>
      </c>
      <c r="O6" s="236"/>
      <c r="P6" s="146"/>
      <c r="Q6" s="153"/>
      <c r="R6" s="150"/>
      <c r="S6" s="150"/>
      <c r="T6" s="150"/>
      <c r="U6" s="144"/>
      <c r="V6" s="153"/>
      <c r="W6" s="153"/>
      <c r="X6" s="153"/>
      <c r="Y6" s="153"/>
      <c r="Z6" s="153"/>
      <c r="AA6" s="153"/>
      <c r="AB6" s="153"/>
      <c r="AC6" s="153"/>
      <c r="AD6" s="153"/>
    </row>
    <row r="7" spans="1:30" ht="15.75" thickBot="1">
      <c r="A7" s="346" t="s">
        <v>310</v>
      </c>
      <c r="B7" s="347"/>
      <c r="C7" s="347"/>
      <c r="D7" s="347"/>
      <c r="E7" s="348"/>
      <c r="F7" s="244">
        <f>SUM(F2:F6)</f>
        <v>700000</v>
      </c>
      <c r="G7" s="244">
        <f t="shared" ref="G7:N7" si="1">SUM(G2:G6)</f>
        <v>200919</v>
      </c>
      <c r="H7" s="244">
        <f t="shared" si="1"/>
        <v>500545</v>
      </c>
      <c r="I7" s="244">
        <f t="shared" si="1"/>
        <v>0</v>
      </c>
      <c r="J7" s="244">
        <f t="shared" si="1"/>
        <v>76536</v>
      </c>
      <c r="K7" s="244">
        <f t="shared" si="1"/>
        <v>1282545</v>
      </c>
      <c r="L7" s="244">
        <f t="shared" si="1"/>
        <v>0</v>
      </c>
      <c r="M7" s="244">
        <f t="shared" si="1"/>
        <v>0</v>
      </c>
      <c r="N7" s="244">
        <f t="shared" si="1"/>
        <v>0</v>
      </c>
      <c r="O7" s="250"/>
      <c r="P7" s="250"/>
      <c r="Q7" s="250"/>
      <c r="R7" s="244">
        <f>SUM(R2:R3)</f>
        <v>0</v>
      </c>
      <c r="S7" s="244">
        <f>SUM(S2:S3)</f>
        <v>0</v>
      </c>
      <c r="T7" s="244">
        <f>SUM(T2:T3)</f>
        <v>0</v>
      </c>
      <c r="U7" s="250"/>
      <c r="V7" s="250"/>
      <c r="W7" s="250"/>
      <c r="X7" s="250"/>
      <c r="Y7" s="250"/>
      <c r="Z7" s="250"/>
      <c r="AA7" s="250"/>
      <c r="AB7" s="250"/>
      <c r="AC7" s="250"/>
      <c r="AD7" s="251"/>
    </row>
    <row r="10" spans="1:30">
      <c r="J10" s="209"/>
    </row>
    <row r="11" spans="1:30">
      <c r="J11" s="212"/>
      <c r="K11" s="209"/>
    </row>
  </sheetData>
  <mergeCells count="1">
    <mergeCell ref="A7:E7"/>
  </mergeCells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2ADED-09F6-42FD-B6F5-F3D3484508DB}">
  <sheetPr>
    <tabColor rgb="FF7030A0"/>
  </sheetPr>
  <dimension ref="A1:EI3"/>
  <sheetViews>
    <sheetView workbookViewId="0"/>
  </sheetViews>
  <sheetFormatPr defaultRowHeight="15"/>
  <cols>
    <col min="1" max="1" width="2" bestFit="1" customWidth="1"/>
    <col min="2" max="2" width="15" bestFit="1" customWidth="1"/>
    <col min="3" max="3" width="22.42578125" bestFit="1" customWidth="1"/>
    <col min="4" max="4" width="19.140625" bestFit="1" customWidth="1"/>
    <col min="5" max="5" width="10.42578125" customWidth="1"/>
    <col min="6" max="6" width="7.28515625" bestFit="1" customWidth="1"/>
    <col min="7" max="7" width="7.42578125" bestFit="1" customWidth="1"/>
    <col min="8" max="8" width="7.28515625" bestFit="1" customWidth="1"/>
    <col min="9" max="9" width="7.42578125" bestFit="1" customWidth="1"/>
    <col min="10" max="10" width="10.140625" bestFit="1" customWidth="1"/>
    <col min="11" max="11" width="10" bestFit="1" customWidth="1"/>
    <col min="12" max="14" width="7.28515625" bestFit="1" customWidth="1"/>
    <col min="15" max="15" width="30.140625" bestFit="1" customWidth="1"/>
    <col min="16" max="16" width="10.42578125" bestFit="1" customWidth="1"/>
    <col min="17" max="17" width="11.85546875" bestFit="1" customWidth="1"/>
    <col min="18" max="18" width="12.5703125" bestFit="1" customWidth="1"/>
    <col min="19" max="19" width="7.42578125" bestFit="1" customWidth="1"/>
    <col min="20" max="20" width="9.5703125" bestFit="1" customWidth="1"/>
    <col min="21" max="21" width="19.140625" bestFit="1" customWidth="1"/>
    <col min="22" max="22" width="15.7109375" bestFit="1" customWidth="1"/>
    <col min="23" max="23" width="14.28515625" bestFit="1" customWidth="1"/>
    <col min="24" max="24" width="10.5703125" bestFit="1" customWidth="1"/>
    <col min="25" max="25" width="13.140625" bestFit="1" customWidth="1"/>
    <col min="26" max="26" width="8.140625" bestFit="1" customWidth="1"/>
    <col min="27" max="27" width="14.5703125" bestFit="1" customWidth="1"/>
    <col min="28" max="28" width="24.140625" bestFit="1" customWidth="1"/>
    <col min="29" max="29" width="66" bestFit="1" customWidth="1"/>
    <col min="30" max="30" width="6.28515625" bestFit="1" customWidth="1"/>
  </cols>
  <sheetData>
    <row r="1" spans="1:139" ht="44.25" customHeight="1" thickBot="1">
      <c r="A1" s="246" t="s">
        <v>0</v>
      </c>
      <c r="B1" s="246" t="s">
        <v>1</v>
      </c>
      <c r="C1" s="238" t="s">
        <v>2</v>
      </c>
      <c r="D1" s="246" t="s">
        <v>4</v>
      </c>
      <c r="E1" s="238" t="s">
        <v>336</v>
      </c>
      <c r="F1" s="240" t="s">
        <v>346</v>
      </c>
      <c r="G1" s="240" t="s">
        <v>347</v>
      </c>
      <c r="H1" s="240" t="s">
        <v>499</v>
      </c>
      <c r="I1" s="240" t="s">
        <v>494</v>
      </c>
      <c r="J1" s="240" t="s">
        <v>503</v>
      </c>
      <c r="K1" s="240" t="s">
        <v>500</v>
      </c>
      <c r="L1" s="240" t="s">
        <v>501</v>
      </c>
      <c r="M1" s="240" t="s">
        <v>502</v>
      </c>
      <c r="N1" s="240" t="s">
        <v>504</v>
      </c>
      <c r="O1" s="247" t="s">
        <v>5</v>
      </c>
      <c r="P1" s="238" t="s">
        <v>336</v>
      </c>
      <c r="Q1" s="247" t="s">
        <v>6</v>
      </c>
      <c r="R1" s="240" t="s">
        <v>356</v>
      </c>
      <c r="S1" s="240" t="s">
        <v>357</v>
      </c>
      <c r="T1" s="240" t="s">
        <v>358</v>
      </c>
      <c r="U1" s="246" t="s">
        <v>8</v>
      </c>
      <c r="V1" s="246" t="s">
        <v>9</v>
      </c>
      <c r="W1" s="246" t="s">
        <v>10</v>
      </c>
      <c r="X1" s="246" t="s">
        <v>11</v>
      </c>
      <c r="Y1" s="246" t="s">
        <v>12</v>
      </c>
      <c r="Z1" s="238" t="s">
        <v>13</v>
      </c>
      <c r="AA1" s="246" t="s">
        <v>14</v>
      </c>
      <c r="AB1" s="238" t="s">
        <v>15</v>
      </c>
      <c r="AC1" s="238" t="s">
        <v>16</v>
      </c>
      <c r="AD1" s="238" t="s">
        <v>17</v>
      </c>
    </row>
    <row r="2" spans="1:139" s="153" customFormat="1" ht="15.75" thickBot="1">
      <c r="A2" s="237">
        <v>1</v>
      </c>
      <c r="B2" s="230" t="s">
        <v>506</v>
      </c>
      <c r="C2" s="230" t="s">
        <v>507</v>
      </c>
      <c r="D2" s="230" t="s">
        <v>508</v>
      </c>
      <c r="E2" s="239" t="s">
        <v>509</v>
      </c>
      <c r="F2" s="241">
        <v>0</v>
      </c>
      <c r="G2" s="241">
        <v>0</v>
      </c>
      <c r="H2" s="235">
        <v>0</v>
      </c>
      <c r="I2" s="235">
        <v>0</v>
      </c>
      <c r="J2" s="235">
        <v>0</v>
      </c>
      <c r="K2" s="235">
        <v>400000</v>
      </c>
      <c r="L2" s="235">
        <v>0</v>
      </c>
      <c r="M2" s="235">
        <v>0</v>
      </c>
      <c r="N2" s="235">
        <v>0</v>
      </c>
      <c r="O2" s="233" t="s">
        <v>510</v>
      </c>
      <c r="P2" s="233" t="s">
        <v>511</v>
      </c>
      <c r="Q2" s="233" t="s">
        <v>21</v>
      </c>
      <c r="R2" s="235">
        <v>400000</v>
      </c>
      <c r="S2" s="233"/>
      <c r="T2" s="233"/>
      <c r="U2" s="233" t="s">
        <v>508</v>
      </c>
      <c r="V2" s="233" t="s">
        <v>512</v>
      </c>
      <c r="W2" s="233" t="s">
        <v>498</v>
      </c>
      <c r="X2" s="233" t="s">
        <v>498</v>
      </c>
      <c r="Y2" s="233" t="s">
        <v>498</v>
      </c>
      <c r="Z2" s="233" t="s">
        <v>218</v>
      </c>
      <c r="AA2" s="233" t="s">
        <v>32</v>
      </c>
      <c r="AB2" s="233" t="s">
        <v>498</v>
      </c>
      <c r="AC2" s="233" t="s">
        <v>513</v>
      </c>
      <c r="AD2" s="249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</row>
    <row r="3" spans="1:139" ht="15.75" thickBot="1">
      <c r="A3" s="346" t="s">
        <v>310</v>
      </c>
      <c r="B3" s="347"/>
      <c r="C3" s="347"/>
      <c r="D3" s="347"/>
      <c r="E3" s="348"/>
      <c r="F3" s="244">
        <f t="shared" ref="F3:N3" si="0">SUM(F2:F2)</f>
        <v>0</v>
      </c>
      <c r="G3" s="244">
        <f t="shared" si="0"/>
        <v>0</v>
      </c>
      <c r="H3" s="244">
        <f t="shared" si="0"/>
        <v>0</v>
      </c>
      <c r="I3" s="244">
        <f t="shared" si="0"/>
        <v>0</v>
      </c>
      <c r="J3" s="244">
        <f t="shared" si="0"/>
        <v>0</v>
      </c>
      <c r="K3" s="244">
        <f t="shared" si="0"/>
        <v>400000</v>
      </c>
      <c r="L3" s="244">
        <f t="shared" si="0"/>
        <v>0</v>
      </c>
      <c r="M3" s="244">
        <f t="shared" si="0"/>
        <v>0</v>
      </c>
      <c r="N3" s="244">
        <f t="shared" si="0"/>
        <v>0</v>
      </c>
      <c r="O3" s="250"/>
      <c r="P3" s="250"/>
      <c r="Q3" s="250"/>
      <c r="R3" s="244">
        <f>SUM(R2:R2)</f>
        <v>400000</v>
      </c>
      <c r="S3" s="244">
        <f>SUM(S2:S2)</f>
        <v>0</v>
      </c>
      <c r="T3" s="244">
        <f>SUM(T2:T2)</f>
        <v>0</v>
      </c>
      <c r="U3" s="250"/>
      <c r="V3" s="250"/>
      <c r="W3" s="250"/>
      <c r="X3" s="250"/>
      <c r="Y3" s="250"/>
      <c r="Z3" s="250"/>
      <c r="AA3" s="250"/>
      <c r="AB3" s="250"/>
      <c r="AC3" s="250"/>
      <c r="AD3" s="251"/>
    </row>
  </sheetData>
  <mergeCells count="1">
    <mergeCell ref="A3:E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E07E7-602B-40EB-A9B3-2EBECE150CEA}">
  <sheetPr>
    <tabColor rgb="FF002060"/>
  </sheetPr>
  <dimension ref="A1:AD13"/>
  <sheetViews>
    <sheetView workbookViewId="0"/>
  </sheetViews>
  <sheetFormatPr defaultRowHeight="15"/>
  <cols>
    <col min="1" max="1" width="3" bestFit="1" customWidth="1"/>
    <col min="2" max="2" width="53" customWidth="1"/>
    <col min="3" max="3" width="68.28515625" bestFit="1" customWidth="1"/>
    <col min="4" max="4" width="15.7109375" bestFit="1" customWidth="1"/>
    <col min="5" max="5" width="11.85546875" customWidth="1"/>
    <col min="6" max="6" width="12.28515625" customWidth="1"/>
    <col min="7" max="7" width="10.28515625" customWidth="1"/>
    <col min="8" max="8" width="10" bestFit="1" customWidth="1"/>
    <col min="9" max="10" width="10" customWidth="1"/>
    <col min="11" max="14" width="11.5703125" bestFit="1" customWidth="1"/>
    <col min="15" max="15" width="38.5703125" customWidth="1"/>
    <col min="16" max="16" width="12.7109375" customWidth="1"/>
    <col min="17" max="17" width="32.140625" bestFit="1" customWidth="1"/>
    <col min="18" max="18" width="11.85546875" bestFit="1" customWidth="1"/>
    <col min="19" max="19" width="9" bestFit="1" customWidth="1"/>
    <col min="20" max="20" width="9.5703125" bestFit="1" customWidth="1"/>
    <col min="21" max="21" width="11.7109375" bestFit="1" customWidth="1"/>
    <col min="22" max="22" width="15.7109375" bestFit="1" customWidth="1"/>
    <col min="23" max="23" width="17.85546875" bestFit="1" customWidth="1"/>
    <col min="24" max="24" width="10.5703125" bestFit="1" customWidth="1"/>
    <col min="25" max="25" width="13.140625" bestFit="1" customWidth="1"/>
    <col min="26" max="26" width="34.140625" bestFit="1" customWidth="1"/>
    <col min="27" max="27" width="26" bestFit="1" customWidth="1"/>
    <col min="28" max="28" width="53.7109375" bestFit="1" customWidth="1"/>
    <col min="29" max="29" width="86.140625" customWidth="1"/>
    <col min="30" max="30" width="64.85546875" bestFit="1" customWidth="1"/>
  </cols>
  <sheetData>
    <row r="1" spans="1:30" ht="44.25" customHeight="1" thickBot="1">
      <c r="A1" s="246" t="s">
        <v>0</v>
      </c>
      <c r="B1" s="246" t="s">
        <v>1</v>
      </c>
      <c r="C1" s="238" t="s">
        <v>2</v>
      </c>
      <c r="D1" s="246" t="s">
        <v>4</v>
      </c>
      <c r="E1" s="238" t="s">
        <v>336</v>
      </c>
      <c r="F1" s="240" t="s">
        <v>346</v>
      </c>
      <c r="G1" s="240" t="s">
        <v>347</v>
      </c>
      <c r="H1" s="240" t="s">
        <v>499</v>
      </c>
      <c r="I1" s="240" t="s">
        <v>494</v>
      </c>
      <c r="J1" s="240" t="s">
        <v>503</v>
      </c>
      <c r="K1" s="240" t="s">
        <v>500</v>
      </c>
      <c r="L1" s="240" t="s">
        <v>501</v>
      </c>
      <c r="M1" s="240" t="s">
        <v>502</v>
      </c>
      <c r="N1" s="240" t="s">
        <v>504</v>
      </c>
      <c r="O1" s="247" t="s">
        <v>5</v>
      </c>
      <c r="P1" s="238" t="s">
        <v>336</v>
      </c>
      <c r="Q1" s="247" t="s">
        <v>6</v>
      </c>
      <c r="R1" s="240" t="s">
        <v>356</v>
      </c>
      <c r="S1" s="240" t="s">
        <v>357</v>
      </c>
      <c r="T1" s="240" t="s">
        <v>358</v>
      </c>
      <c r="U1" s="246" t="s">
        <v>8</v>
      </c>
      <c r="V1" s="246" t="s">
        <v>9</v>
      </c>
      <c r="W1" s="246" t="s">
        <v>10</v>
      </c>
      <c r="X1" s="246" t="s">
        <v>11</v>
      </c>
      <c r="Y1" s="246" t="s">
        <v>12</v>
      </c>
      <c r="Z1" s="238" t="s">
        <v>13</v>
      </c>
      <c r="AA1" s="246" t="s">
        <v>14</v>
      </c>
      <c r="AB1" s="238" t="s">
        <v>15</v>
      </c>
      <c r="AC1" s="238" t="s">
        <v>16</v>
      </c>
      <c r="AD1" s="238" t="s">
        <v>17</v>
      </c>
    </row>
    <row r="2" spans="1:30">
      <c r="A2" s="142">
        <v>1</v>
      </c>
      <c r="B2" s="230" t="s">
        <v>461</v>
      </c>
      <c r="C2" s="230" t="s">
        <v>386</v>
      </c>
      <c r="D2" s="144" t="s">
        <v>19</v>
      </c>
      <c r="E2" s="146" t="s">
        <v>475</v>
      </c>
      <c r="F2" s="150">
        <v>0</v>
      </c>
      <c r="G2" s="150">
        <v>0</v>
      </c>
      <c r="H2" s="154">
        <v>56581</v>
      </c>
      <c r="I2" s="154">
        <v>0</v>
      </c>
      <c r="J2" s="154">
        <v>0</v>
      </c>
      <c r="K2" s="154">
        <v>0</v>
      </c>
      <c r="L2" s="154">
        <v>0</v>
      </c>
      <c r="M2" s="154">
        <v>0</v>
      </c>
      <c r="N2" s="154">
        <v>0</v>
      </c>
      <c r="O2" s="236" t="s">
        <v>462</v>
      </c>
      <c r="P2" s="146" t="s">
        <v>542</v>
      </c>
      <c r="Q2" s="153" t="s">
        <v>476</v>
      </c>
      <c r="R2" s="150">
        <v>56581</v>
      </c>
      <c r="S2" s="150">
        <v>56581</v>
      </c>
      <c r="T2" s="150">
        <v>56581</v>
      </c>
      <c r="U2" s="144" t="s">
        <v>19</v>
      </c>
      <c r="V2" s="153" t="s">
        <v>388</v>
      </c>
      <c r="W2" s="153" t="s">
        <v>29</v>
      </c>
      <c r="X2" s="153" t="s">
        <v>389</v>
      </c>
      <c r="Y2" s="153" t="s">
        <v>23</v>
      </c>
      <c r="Z2" s="153" t="s">
        <v>477</v>
      </c>
      <c r="AA2" s="153" t="s">
        <v>28</v>
      </c>
      <c r="AB2" s="153" t="s">
        <v>390</v>
      </c>
      <c r="AC2" s="153" t="s">
        <v>543</v>
      </c>
      <c r="AD2" s="153" t="s">
        <v>541</v>
      </c>
    </row>
    <row r="3" spans="1:30">
      <c r="A3" s="142">
        <f t="shared" ref="A3:A12" si="0">A2+1</f>
        <v>2</v>
      </c>
      <c r="B3" s="230" t="s">
        <v>545</v>
      </c>
      <c r="C3" s="230" t="s">
        <v>463</v>
      </c>
      <c r="D3" s="144" t="s">
        <v>19</v>
      </c>
      <c r="E3" s="146" t="s">
        <v>478</v>
      </c>
      <c r="F3" s="150">
        <v>0</v>
      </c>
      <c r="G3" s="150">
        <v>0</v>
      </c>
      <c r="H3" s="154">
        <f>124640-H4</f>
        <v>92640</v>
      </c>
      <c r="I3" s="154">
        <v>64692</v>
      </c>
      <c r="J3" s="271">
        <v>86256</v>
      </c>
      <c r="K3" s="271">
        <v>86256</v>
      </c>
      <c r="L3" s="271">
        <v>86256</v>
      </c>
      <c r="M3" s="154">
        <v>0</v>
      </c>
      <c r="N3" s="154">
        <v>0</v>
      </c>
      <c r="O3" s="236"/>
      <c r="P3" s="146"/>
      <c r="Q3" s="153"/>
      <c r="R3" s="150"/>
      <c r="S3" s="150"/>
      <c r="T3" s="150"/>
      <c r="U3" s="144" t="s">
        <v>19</v>
      </c>
      <c r="V3" s="153" t="s">
        <v>388</v>
      </c>
      <c r="W3" s="153" t="s">
        <v>514</v>
      </c>
      <c r="X3" s="153"/>
      <c r="Y3" s="153"/>
      <c r="Z3" s="153" t="s">
        <v>317</v>
      </c>
      <c r="AA3" s="153"/>
      <c r="AB3" s="153"/>
      <c r="AC3" s="153"/>
      <c r="AD3" s="153"/>
    </row>
    <row r="4" spans="1:30">
      <c r="A4" s="142">
        <f t="shared" si="0"/>
        <v>3</v>
      </c>
      <c r="B4" s="230" t="s">
        <v>546</v>
      </c>
      <c r="C4" s="230" t="s">
        <v>497</v>
      </c>
      <c r="D4" s="144" t="s">
        <v>19</v>
      </c>
      <c r="E4" s="239" t="s">
        <v>478</v>
      </c>
      <c r="F4" s="150">
        <v>0</v>
      </c>
      <c r="G4" s="150">
        <v>0</v>
      </c>
      <c r="H4" s="154">
        <v>32000</v>
      </c>
      <c r="I4" s="154">
        <v>0</v>
      </c>
      <c r="J4" s="154">
        <v>18336.2</v>
      </c>
      <c r="K4" s="154">
        <v>0</v>
      </c>
      <c r="L4" s="154">
        <v>0</v>
      </c>
      <c r="M4" s="154">
        <v>0</v>
      </c>
      <c r="N4" s="154">
        <v>0</v>
      </c>
      <c r="O4" s="236"/>
      <c r="P4" s="146"/>
      <c r="Q4" s="153"/>
      <c r="R4" s="150"/>
      <c r="S4" s="150"/>
      <c r="T4" s="150"/>
      <c r="U4" s="144"/>
      <c r="V4" s="153"/>
      <c r="W4" s="153"/>
      <c r="X4" s="153"/>
      <c r="Y4" s="153"/>
      <c r="Z4" s="153"/>
      <c r="AA4" s="153"/>
      <c r="AB4" s="153"/>
      <c r="AC4" s="153"/>
      <c r="AD4" s="153"/>
    </row>
    <row r="5" spans="1:30" ht="30.75" customHeight="1">
      <c r="A5" s="142">
        <f t="shared" si="0"/>
        <v>4</v>
      </c>
      <c r="B5" s="145" t="s">
        <v>547</v>
      </c>
      <c r="C5" s="144" t="s">
        <v>464</v>
      </c>
      <c r="D5" s="144" t="s">
        <v>19</v>
      </c>
      <c r="E5" s="239" t="s">
        <v>478</v>
      </c>
      <c r="F5" s="150">
        <v>0</v>
      </c>
      <c r="G5" s="150">
        <v>0</v>
      </c>
      <c r="H5" s="154">
        <v>0</v>
      </c>
      <c r="I5" s="154">
        <v>0</v>
      </c>
      <c r="J5" s="154">
        <v>0</v>
      </c>
      <c r="K5" s="154">
        <f>175278+61000</f>
        <v>236278</v>
      </c>
      <c r="L5" s="154">
        <v>129600</v>
      </c>
      <c r="M5" s="154">
        <v>129600</v>
      </c>
      <c r="N5" s="154">
        <v>0</v>
      </c>
      <c r="O5" s="158" t="s">
        <v>549</v>
      </c>
      <c r="P5" s="153" t="s">
        <v>534</v>
      </c>
      <c r="Q5" s="153" t="s">
        <v>532</v>
      </c>
      <c r="R5" s="270">
        <v>63000</v>
      </c>
      <c r="S5" s="150"/>
      <c r="T5" s="150"/>
      <c r="U5" s="144" t="s">
        <v>19</v>
      </c>
      <c r="V5" s="153" t="s">
        <v>388</v>
      </c>
      <c r="W5" s="153"/>
      <c r="X5" s="153"/>
      <c r="Y5" s="153"/>
      <c r="Z5" s="153" t="s">
        <v>317</v>
      </c>
      <c r="AA5" s="153"/>
      <c r="AB5" s="153"/>
      <c r="AC5" s="153"/>
      <c r="AD5" s="153"/>
    </row>
    <row r="6" spans="1:30">
      <c r="A6" s="142">
        <f t="shared" si="0"/>
        <v>5</v>
      </c>
      <c r="B6" s="261" t="s">
        <v>515</v>
      </c>
      <c r="C6" s="233" t="s">
        <v>516</v>
      </c>
      <c r="D6" s="233" t="s">
        <v>19</v>
      </c>
      <c r="E6" s="239" t="s">
        <v>517</v>
      </c>
      <c r="F6" s="260">
        <v>0</v>
      </c>
      <c r="G6" s="260">
        <v>0</v>
      </c>
      <c r="H6" s="260">
        <v>0</v>
      </c>
      <c r="I6" s="260">
        <v>0</v>
      </c>
      <c r="J6" s="260">
        <v>0</v>
      </c>
      <c r="K6" s="265">
        <v>12275</v>
      </c>
      <c r="L6" s="235">
        <v>0</v>
      </c>
      <c r="M6" s="235">
        <v>0</v>
      </c>
      <c r="N6" s="235">
        <v>0</v>
      </c>
      <c r="O6" s="236"/>
      <c r="P6" s="233"/>
      <c r="Q6" s="233"/>
      <c r="R6" s="233"/>
      <c r="S6" s="233"/>
      <c r="T6" s="233"/>
      <c r="U6" s="233" t="s">
        <v>19</v>
      </c>
      <c r="V6" s="233" t="s">
        <v>518</v>
      </c>
      <c r="W6" s="233" t="s">
        <v>29</v>
      </c>
      <c r="X6" s="233" t="s">
        <v>389</v>
      </c>
      <c r="Y6" s="233" t="s">
        <v>23</v>
      </c>
      <c r="Z6" s="233" t="s">
        <v>519</v>
      </c>
      <c r="AA6" s="233"/>
      <c r="AB6" s="233"/>
      <c r="AC6" s="233" t="s">
        <v>520</v>
      </c>
      <c r="AD6" s="233"/>
    </row>
    <row r="7" spans="1:30">
      <c r="A7" s="142">
        <f t="shared" si="0"/>
        <v>6</v>
      </c>
      <c r="B7" s="262" t="s">
        <v>521</v>
      </c>
      <c r="C7" s="153" t="s">
        <v>522</v>
      </c>
      <c r="D7" s="153" t="s">
        <v>19</v>
      </c>
      <c r="E7" s="239" t="s">
        <v>523</v>
      </c>
      <c r="F7" s="204">
        <v>0</v>
      </c>
      <c r="G7" s="204">
        <v>0</v>
      </c>
      <c r="H7" s="204">
        <v>0</v>
      </c>
      <c r="I7" s="204">
        <v>0</v>
      </c>
      <c r="J7" s="204">
        <v>0</v>
      </c>
      <c r="K7" s="266">
        <v>45000</v>
      </c>
      <c r="L7" s="267">
        <v>25000</v>
      </c>
      <c r="M7" s="267">
        <v>15000</v>
      </c>
      <c r="N7" s="267">
        <v>10000</v>
      </c>
      <c r="O7" s="236"/>
      <c r="P7" s="153"/>
      <c r="Q7" s="153"/>
      <c r="R7" s="153"/>
      <c r="S7" s="153"/>
      <c r="T7" s="153"/>
      <c r="U7" s="153" t="s">
        <v>19</v>
      </c>
      <c r="V7" s="153" t="s">
        <v>518</v>
      </c>
      <c r="W7" s="153" t="s">
        <v>524</v>
      </c>
      <c r="X7" s="153" t="s">
        <v>525</v>
      </c>
      <c r="Y7" s="153" t="s">
        <v>23</v>
      </c>
      <c r="Z7" s="153" t="s">
        <v>526</v>
      </c>
      <c r="AA7" s="153"/>
      <c r="AB7" s="153"/>
      <c r="AC7" s="153" t="s">
        <v>527</v>
      </c>
      <c r="AD7" s="153"/>
    </row>
    <row r="8" spans="1:30">
      <c r="A8" s="142">
        <f t="shared" si="0"/>
        <v>7</v>
      </c>
      <c r="B8" s="262" t="s">
        <v>528</v>
      </c>
      <c r="C8" s="153" t="s">
        <v>529</v>
      </c>
      <c r="D8" s="153" t="s">
        <v>19</v>
      </c>
      <c r="E8" s="239" t="s">
        <v>517</v>
      </c>
      <c r="F8" s="263">
        <v>0</v>
      </c>
      <c r="G8" s="263">
        <v>0</v>
      </c>
      <c r="H8" s="263">
        <v>0</v>
      </c>
      <c r="I8" s="263">
        <v>0</v>
      </c>
      <c r="J8" s="263">
        <v>0</v>
      </c>
      <c r="K8" s="268">
        <v>19000</v>
      </c>
      <c r="L8" s="269">
        <v>0</v>
      </c>
      <c r="M8" s="269">
        <v>0</v>
      </c>
      <c r="N8" s="154">
        <v>0</v>
      </c>
      <c r="O8" s="236"/>
      <c r="P8" s="264"/>
      <c r="Q8" s="264"/>
      <c r="R8" s="264"/>
      <c r="S8" s="264"/>
      <c r="T8" s="264"/>
      <c r="U8" s="264" t="s">
        <v>19</v>
      </c>
      <c r="V8" s="264" t="s">
        <v>518</v>
      </c>
      <c r="W8" s="264" t="s">
        <v>29</v>
      </c>
      <c r="X8" s="264" t="s">
        <v>530</v>
      </c>
      <c r="Y8" s="264" t="s">
        <v>23</v>
      </c>
      <c r="Z8" s="264" t="s">
        <v>526</v>
      </c>
      <c r="AA8" s="264"/>
      <c r="AB8" s="264"/>
      <c r="AC8" s="264" t="s">
        <v>531</v>
      </c>
      <c r="AD8" s="264"/>
    </row>
    <row r="9" spans="1:30" ht="45">
      <c r="A9" s="142">
        <f t="shared" si="0"/>
        <v>8</v>
      </c>
      <c r="B9" s="230" t="s">
        <v>556</v>
      </c>
      <c r="C9" s="230" t="s">
        <v>556</v>
      </c>
      <c r="D9" s="153" t="s">
        <v>19</v>
      </c>
      <c r="E9" s="239" t="s">
        <v>475</v>
      </c>
      <c r="F9" s="150">
        <v>0</v>
      </c>
      <c r="G9" s="150">
        <v>0</v>
      </c>
      <c r="H9" s="154">
        <v>0</v>
      </c>
      <c r="I9" s="154">
        <v>0</v>
      </c>
      <c r="J9" s="154">
        <v>0</v>
      </c>
      <c r="K9" s="266">
        <v>360000</v>
      </c>
      <c r="L9" s="154">
        <v>0</v>
      </c>
      <c r="M9" s="154">
        <v>0</v>
      </c>
      <c r="N9" s="235">
        <v>0</v>
      </c>
      <c r="O9" s="158" t="s">
        <v>533</v>
      </c>
      <c r="P9" s="153" t="s">
        <v>557</v>
      </c>
      <c r="Q9" s="153" t="s">
        <v>532</v>
      </c>
      <c r="R9" s="270">
        <v>184086</v>
      </c>
      <c r="S9" s="150"/>
      <c r="T9" s="150"/>
      <c r="U9" s="153" t="s">
        <v>19</v>
      </c>
      <c r="V9" s="153" t="s">
        <v>535</v>
      </c>
      <c r="W9" s="153" t="s">
        <v>536</v>
      </c>
      <c r="X9" s="153" t="s">
        <v>537</v>
      </c>
      <c r="Y9" s="153" t="s">
        <v>23</v>
      </c>
      <c r="Z9" s="153" t="s">
        <v>560</v>
      </c>
      <c r="AA9" s="153"/>
      <c r="AB9" s="153"/>
      <c r="AC9" s="153" t="s">
        <v>538</v>
      </c>
      <c r="AD9" s="153"/>
    </row>
    <row r="10" spans="1:30">
      <c r="A10" s="142">
        <f t="shared" si="0"/>
        <v>9</v>
      </c>
      <c r="B10" s="230" t="s">
        <v>548</v>
      </c>
      <c r="C10" s="230" t="s">
        <v>539</v>
      </c>
      <c r="D10" s="144" t="s">
        <v>19</v>
      </c>
      <c r="E10" s="237" t="s">
        <v>540</v>
      </c>
      <c r="F10" s="150">
        <v>0</v>
      </c>
      <c r="G10" s="150">
        <v>0</v>
      </c>
      <c r="H10" s="154">
        <v>0</v>
      </c>
      <c r="I10" s="154">
        <v>0</v>
      </c>
      <c r="J10" s="154">
        <v>0</v>
      </c>
      <c r="K10" s="154">
        <v>0</v>
      </c>
      <c r="L10" s="154">
        <v>22100</v>
      </c>
      <c r="M10" s="154">
        <v>0</v>
      </c>
      <c r="N10" s="235">
        <v>0</v>
      </c>
      <c r="O10" s="236"/>
      <c r="P10" s="146"/>
      <c r="Q10" s="153"/>
      <c r="R10" s="150"/>
      <c r="S10" s="150"/>
      <c r="T10" s="150"/>
      <c r="U10" s="144" t="s">
        <v>19</v>
      </c>
      <c r="V10" s="153" t="s">
        <v>388</v>
      </c>
      <c r="W10" s="153"/>
      <c r="X10" s="153"/>
      <c r="Y10" s="153"/>
      <c r="Z10" s="153" t="s">
        <v>317</v>
      </c>
      <c r="AA10" s="153"/>
      <c r="AB10" s="153"/>
      <c r="AC10" s="153"/>
      <c r="AD10" s="153"/>
    </row>
    <row r="11" spans="1:30">
      <c r="A11" s="142">
        <f t="shared" si="0"/>
        <v>10</v>
      </c>
      <c r="B11" s="230" t="s">
        <v>465</v>
      </c>
      <c r="C11" s="230" t="s">
        <v>465</v>
      </c>
      <c r="D11" s="144" t="s">
        <v>19</v>
      </c>
      <c r="E11" s="239" t="s">
        <v>478</v>
      </c>
      <c r="F11" s="150">
        <v>0</v>
      </c>
      <c r="G11" s="150">
        <v>0</v>
      </c>
      <c r="H11" s="154">
        <v>0</v>
      </c>
      <c r="I11" s="154">
        <v>0</v>
      </c>
      <c r="J11" s="154">
        <v>0</v>
      </c>
      <c r="K11" s="154">
        <v>0</v>
      </c>
      <c r="L11" s="154">
        <v>121275.5</v>
      </c>
      <c r="M11" s="154">
        <v>104000</v>
      </c>
      <c r="N11" s="235">
        <v>10400</v>
      </c>
      <c r="O11" s="236"/>
      <c r="P11" s="146"/>
      <c r="Q11" s="153"/>
      <c r="R11" s="150"/>
      <c r="S11" s="150"/>
      <c r="T11" s="150"/>
      <c r="U11" s="144" t="s">
        <v>19</v>
      </c>
      <c r="V11" s="153" t="s">
        <v>388</v>
      </c>
      <c r="W11" s="153"/>
      <c r="X11" s="153"/>
      <c r="Y11" s="153"/>
      <c r="Z11" s="153" t="s">
        <v>317</v>
      </c>
      <c r="AA11" s="153"/>
      <c r="AB11" s="153"/>
      <c r="AC11" s="153"/>
      <c r="AD11" s="153"/>
    </row>
    <row r="12" spans="1:30" ht="15.75" thickBot="1">
      <c r="A12" s="142">
        <f t="shared" si="0"/>
        <v>11</v>
      </c>
      <c r="B12" s="230" t="s">
        <v>466</v>
      </c>
      <c r="C12" s="230" t="s">
        <v>466</v>
      </c>
      <c r="D12" s="144" t="s">
        <v>19</v>
      </c>
      <c r="E12" s="239" t="s">
        <v>478</v>
      </c>
      <c r="F12" s="150">
        <v>0</v>
      </c>
      <c r="G12" s="150">
        <v>0</v>
      </c>
      <c r="H12" s="154">
        <v>0</v>
      </c>
      <c r="I12" s="154">
        <v>0</v>
      </c>
      <c r="J12" s="154">
        <v>0</v>
      </c>
      <c r="K12" s="154">
        <v>0</v>
      </c>
      <c r="L12" s="154">
        <v>0</v>
      </c>
      <c r="M12" s="154">
        <v>120995.2</v>
      </c>
      <c r="N12" s="235">
        <v>111600</v>
      </c>
      <c r="O12" s="236"/>
      <c r="P12" s="146"/>
      <c r="Q12" s="153"/>
      <c r="R12" s="150"/>
      <c r="S12" s="150"/>
      <c r="T12" s="150"/>
      <c r="U12" s="144" t="s">
        <v>19</v>
      </c>
      <c r="V12" s="153" t="s">
        <v>388</v>
      </c>
      <c r="W12" s="153"/>
      <c r="X12" s="153"/>
      <c r="Y12" s="153"/>
      <c r="Z12" s="153" t="s">
        <v>317</v>
      </c>
      <c r="AA12" s="153"/>
      <c r="AB12" s="153"/>
      <c r="AC12" s="153"/>
      <c r="AD12" s="153"/>
    </row>
    <row r="13" spans="1:30" ht="15.75" thickBot="1">
      <c r="A13" s="346" t="s">
        <v>310</v>
      </c>
      <c r="B13" s="347"/>
      <c r="C13" s="347"/>
      <c r="D13" s="347"/>
      <c r="E13" s="348"/>
      <c r="F13" s="244">
        <f t="shared" ref="F13:N13" si="1">SUM(F2:F12)</f>
        <v>0</v>
      </c>
      <c r="G13" s="244">
        <f t="shared" si="1"/>
        <v>0</v>
      </c>
      <c r="H13" s="244">
        <f t="shared" si="1"/>
        <v>181221</v>
      </c>
      <c r="I13" s="244">
        <f t="shared" si="1"/>
        <v>64692</v>
      </c>
      <c r="J13" s="244">
        <f t="shared" si="1"/>
        <v>104592.2</v>
      </c>
      <c r="K13" s="244">
        <f t="shared" si="1"/>
        <v>758809</v>
      </c>
      <c r="L13" s="244">
        <f t="shared" si="1"/>
        <v>384231.5</v>
      </c>
      <c r="M13" s="244">
        <f t="shared" si="1"/>
        <v>369595.2</v>
      </c>
      <c r="N13" s="244">
        <f t="shared" si="1"/>
        <v>132000</v>
      </c>
      <c r="O13" s="250"/>
      <c r="P13" s="250"/>
      <c r="Q13" s="250"/>
      <c r="R13" s="244">
        <f>SUM(R2:R12)</f>
        <v>303667</v>
      </c>
      <c r="S13" s="244">
        <f>SUM(S2:S12)</f>
        <v>56581</v>
      </c>
      <c r="T13" s="244">
        <f>SUM(T2:T12)</f>
        <v>56581</v>
      </c>
      <c r="U13" s="250"/>
      <c r="V13" s="250"/>
      <c r="W13" s="250"/>
      <c r="X13" s="250"/>
      <c r="Y13" s="250"/>
      <c r="Z13" s="250"/>
      <c r="AA13" s="250"/>
      <c r="AB13" s="250"/>
      <c r="AC13" s="250"/>
      <c r="AD13" s="251"/>
    </row>
  </sheetData>
  <autoFilter ref="B1:N13" xr:uid="{40CE07E7-602B-40EB-A9B3-2EBECE150CEA}"/>
  <mergeCells count="1">
    <mergeCell ref="A13:E1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E47FA-EBDB-420F-9569-E434E0E5221D}">
  <sheetPr>
    <tabColor rgb="FFFFFF00"/>
  </sheetPr>
  <dimension ref="A1:AD56"/>
  <sheetViews>
    <sheetView topLeftCell="E1" workbookViewId="0">
      <selection activeCell="O24" sqref="O24"/>
    </sheetView>
  </sheetViews>
  <sheetFormatPr defaultRowHeight="15"/>
  <cols>
    <col min="1" max="1" width="6.5703125" bestFit="1" customWidth="1"/>
    <col min="2" max="2" width="49.42578125" bestFit="1" customWidth="1"/>
    <col min="3" max="3" width="69" bestFit="1" customWidth="1"/>
    <col min="4" max="4" width="20.28515625" bestFit="1" customWidth="1"/>
    <col min="5" max="5" width="10.42578125" bestFit="1" customWidth="1"/>
    <col min="6" max="6" width="11.7109375" bestFit="1" customWidth="1"/>
    <col min="7" max="7" width="11.85546875" bestFit="1" customWidth="1"/>
    <col min="8" max="8" width="11.5703125" bestFit="1" customWidth="1"/>
    <col min="9" max="9" width="11.5703125" customWidth="1"/>
    <col min="10" max="10" width="14.7109375" bestFit="1" customWidth="1"/>
    <col min="11" max="11" width="16.28515625" bestFit="1" customWidth="1"/>
    <col min="12" max="13" width="12.5703125" bestFit="1" customWidth="1"/>
    <col min="14" max="14" width="12.5703125" customWidth="1"/>
    <col min="15" max="15" width="56" bestFit="1" customWidth="1"/>
    <col min="16" max="16" width="10.42578125" bestFit="1" customWidth="1"/>
    <col min="17" max="17" width="17.28515625" bestFit="1" customWidth="1"/>
    <col min="18" max="18" width="12.7109375" bestFit="1" customWidth="1"/>
    <col min="19" max="19" width="12.85546875" bestFit="1" customWidth="1"/>
    <col min="20" max="20" width="11.5703125" bestFit="1" customWidth="1"/>
    <col min="21" max="21" width="12.42578125" bestFit="1" customWidth="1"/>
    <col min="22" max="22" width="15.7109375" bestFit="1" customWidth="1"/>
    <col min="23" max="23" width="14.28515625" bestFit="1" customWidth="1"/>
    <col min="24" max="24" width="10.5703125" bestFit="1" customWidth="1"/>
    <col min="25" max="25" width="48.140625" bestFit="1" customWidth="1"/>
    <col min="26" max="26" width="30.28515625" bestFit="1" customWidth="1"/>
    <col min="27" max="27" width="14.5703125" bestFit="1" customWidth="1"/>
    <col min="28" max="28" width="24.140625" bestFit="1" customWidth="1"/>
    <col min="29" max="29" width="19" bestFit="1" customWidth="1"/>
    <col min="30" max="30" width="6.28515625" bestFit="1" customWidth="1"/>
  </cols>
  <sheetData>
    <row r="1" spans="1:30" ht="44.25" customHeight="1" thickBot="1">
      <c r="A1" s="246" t="s">
        <v>0</v>
      </c>
      <c r="B1" s="246" t="s">
        <v>1</v>
      </c>
      <c r="C1" s="238" t="s">
        <v>2</v>
      </c>
      <c r="D1" s="246" t="s">
        <v>4</v>
      </c>
      <c r="E1" s="238" t="s">
        <v>336</v>
      </c>
      <c r="F1" s="240" t="s">
        <v>346</v>
      </c>
      <c r="G1" s="240" t="s">
        <v>347</v>
      </c>
      <c r="H1" s="240" t="s">
        <v>499</v>
      </c>
      <c r="I1" s="240" t="s">
        <v>494</v>
      </c>
      <c r="J1" s="240" t="s">
        <v>503</v>
      </c>
      <c r="K1" s="240" t="s">
        <v>500</v>
      </c>
      <c r="L1" s="240" t="s">
        <v>501</v>
      </c>
      <c r="M1" s="240" t="s">
        <v>502</v>
      </c>
      <c r="N1" s="240" t="s">
        <v>504</v>
      </c>
      <c r="O1" s="247" t="s">
        <v>5</v>
      </c>
      <c r="P1" s="238" t="s">
        <v>336</v>
      </c>
      <c r="Q1" s="247" t="s">
        <v>6</v>
      </c>
      <c r="R1" s="240" t="s">
        <v>356</v>
      </c>
      <c r="S1" s="240" t="s">
        <v>357</v>
      </c>
      <c r="T1" s="240" t="s">
        <v>358</v>
      </c>
      <c r="U1" s="246" t="s">
        <v>8</v>
      </c>
      <c r="V1" s="246" t="s">
        <v>9</v>
      </c>
      <c r="W1" s="246" t="s">
        <v>10</v>
      </c>
      <c r="X1" s="246" t="s">
        <v>11</v>
      </c>
      <c r="Y1" s="246" t="s">
        <v>12</v>
      </c>
      <c r="Z1" s="238" t="s">
        <v>13</v>
      </c>
      <c r="AA1" s="246" t="s">
        <v>14</v>
      </c>
      <c r="AB1" s="238" t="s">
        <v>15</v>
      </c>
      <c r="AC1" s="238" t="s">
        <v>16</v>
      </c>
      <c r="AD1" s="238" t="s">
        <v>17</v>
      </c>
    </row>
    <row r="2" spans="1:30" ht="30">
      <c r="A2" s="142">
        <v>1</v>
      </c>
      <c r="B2" s="230" t="s">
        <v>411</v>
      </c>
      <c r="C2" s="145" t="s">
        <v>495</v>
      </c>
      <c r="D2" s="144" t="s">
        <v>53</v>
      </c>
      <c r="E2" s="146" t="s">
        <v>479</v>
      </c>
      <c r="F2" s="150">
        <v>260000</v>
      </c>
      <c r="G2" s="150">
        <v>31580</v>
      </c>
      <c r="H2" s="154">
        <v>500000</v>
      </c>
      <c r="I2" s="154">
        <v>335427.87</v>
      </c>
      <c r="J2" s="154">
        <v>504706</v>
      </c>
      <c r="K2" s="154">
        <v>0</v>
      </c>
      <c r="L2" s="154">
        <v>0</v>
      </c>
      <c r="M2" s="154">
        <v>0</v>
      </c>
      <c r="N2" s="154">
        <v>0</v>
      </c>
      <c r="O2" s="236" t="s">
        <v>350</v>
      </c>
      <c r="P2" s="146" t="s">
        <v>355</v>
      </c>
      <c r="Q2" s="153" t="s">
        <v>480</v>
      </c>
      <c r="R2" s="150">
        <v>260000</v>
      </c>
      <c r="S2" s="150"/>
      <c r="T2" s="150">
        <v>260000</v>
      </c>
      <c r="U2" s="153" t="s">
        <v>53</v>
      </c>
      <c r="V2" s="153" t="s">
        <v>303</v>
      </c>
      <c r="W2" s="153"/>
      <c r="X2" s="153"/>
      <c r="Y2" s="153"/>
      <c r="Z2" s="153" t="s">
        <v>481</v>
      </c>
      <c r="AA2" s="153"/>
      <c r="AB2" s="153"/>
      <c r="AC2" s="153"/>
      <c r="AD2" s="153"/>
    </row>
    <row r="3" spans="1:30">
      <c r="A3" s="142">
        <f t="shared" ref="A3:A47" si="0">A2+1</f>
        <v>2</v>
      </c>
      <c r="B3" s="230" t="s">
        <v>305</v>
      </c>
      <c r="C3" s="230" t="s">
        <v>305</v>
      </c>
      <c r="D3" s="144" t="s">
        <v>53</v>
      </c>
      <c r="E3" s="146" t="s">
        <v>341</v>
      </c>
      <c r="F3" s="150">
        <v>204754</v>
      </c>
      <c r="G3" s="150">
        <v>15173.22</v>
      </c>
      <c r="H3" s="154">
        <v>180000</v>
      </c>
      <c r="I3" s="154">
        <f>93.5+6036.78+3450.25</f>
        <v>9580.5299999999988</v>
      </c>
      <c r="J3" s="154">
        <v>20000</v>
      </c>
      <c r="K3" s="154">
        <v>195000</v>
      </c>
      <c r="L3" s="154">
        <v>0</v>
      </c>
      <c r="M3" s="154">
        <v>0</v>
      </c>
      <c r="N3" s="154">
        <v>0</v>
      </c>
      <c r="O3" s="236"/>
      <c r="P3" s="146"/>
      <c r="Q3" s="153"/>
      <c r="R3" s="150"/>
      <c r="S3" s="150"/>
      <c r="T3" s="150"/>
      <c r="U3" s="153" t="s">
        <v>53</v>
      </c>
      <c r="V3" s="153" t="s">
        <v>303</v>
      </c>
      <c r="W3" s="153"/>
      <c r="X3" s="153"/>
      <c r="Y3" s="153"/>
      <c r="Z3" s="153" t="s">
        <v>316</v>
      </c>
      <c r="AA3" s="153"/>
      <c r="AB3" s="153"/>
      <c r="AC3" s="153"/>
      <c r="AD3" s="153"/>
    </row>
    <row r="4" spans="1:30">
      <c r="A4" s="142">
        <f t="shared" si="0"/>
        <v>3</v>
      </c>
      <c r="B4" s="230" t="s">
        <v>412</v>
      </c>
      <c r="C4" s="230" t="s">
        <v>413</v>
      </c>
      <c r="D4" s="144" t="s">
        <v>53</v>
      </c>
      <c r="E4" s="146" t="s">
        <v>341</v>
      </c>
      <c r="F4" s="150">
        <v>306700</v>
      </c>
      <c r="G4" s="150">
        <v>52014.400000000009</v>
      </c>
      <c r="H4" s="154">
        <v>250000</v>
      </c>
      <c r="I4" s="154">
        <v>0</v>
      </c>
      <c r="J4" s="154">
        <v>0</v>
      </c>
      <c r="K4" s="154">
        <v>275000</v>
      </c>
      <c r="L4" s="154">
        <v>0</v>
      </c>
      <c r="M4" s="154">
        <v>0</v>
      </c>
      <c r="N4" s="154">
        <v>0</v>
      </c>
      <c r="O4" s="236"/>
      <c r="P4" s="146"/>
      <c r="Q4" s="153"/>
      <c r="R4" s="150"/>
      <c r="S4" s="150"/>
      <c r="T4" s="150"/>
      <c r="U4" s="153" t="s">
        <v>53</v>
      </c>
      <c r="V4" s="153" t="s">
        <v>303</v>
      </c>
      <c r="W4" s="153"/>
      <c r="X4" s="153"/>
      <c r="Y4" s="153"/>
      <c r="Z4" s="153" t="s">
        <v>316</v>
      </c>
      <c r="AA4" s="153"/>
      <c r="AB4" s="153"/>
      <c r="AC4" s="153"/>
      <c r="AD4" s="153" t="s">
        <v>367</v>
      </c>
    </row>
    <row r="5" spans="1:30">
      <c r="A5" s="142">
        <f t="shared" si="0"/>
        <v>4</v>
      </c>
      <c r="B5" s="230" t="s">
        <v>304</v>
      </c>
      <c r="C5" s="230" t="s">
        <v>304</v>
      </c>
      <c r="D5" s="144" t="s">
        <v>53</v>
      </c>
      <c r="E5" s="146" t="s">
        <v>341</v>
      </c>
      <c r="F5" s="150">
        <v>305320</v>
      </c>
      <c r="G5" s="150">
        <v>442489.25</v>
      </c>
      <c r="H5" s="154">
        <v>0</v>
      </c>
      <c r="I5" s="154">
        <v>0</v>
      </c>
      <c r="J5" s="154">
        <v>0</v>
      </c>
      <c r="K5" s="154">
        <v>0</v>
      </c>
      <c r="L5" s="154">
        <v>0</v>
      </c>
      <c r="M5" s="154">
        <v>0</v>
      </c>
      <c r="N5" s="154">
        <v>0</v>
      </c>
      <c r="O5" s="236" t="s">
        <v>351</v>
      </c>
      <c r="P5" s="146" t="s">
        <v>355</v>
      </c>
      <c r="Q5" s="153" t="s">
        <v>480</v>
      </c>
      <c r="R5" s="150">
        <v>305320</v>
      </c>
      <c r="S5" s="150">
        <v>305320</v>
      </c>
      <c r="T5" s="150">
        <v>305320</v>
      </c>
      <c r="U5" s="153" t="s">
        <v>53</v>
      </c>
      <c r="V5" s="153" t="s">
        <v>303</v>
      </c>
      <c r="W5" s="153"/>
      <c r="X5" s="153"/>
      <c r="Y5" s="153"/>
      <c r="Z5" s="153" t="s">
        <v>316</v>
      </c>
      <c r="AA5" s="153"/>
      <c r="AB5" s="153"/>
      <c r="AC5" s="153"/>
      <c r="AD5" s="153"/>
    </row>
    <row r="6" spans="1:30">
      <c r="A6" s="142">
        <f t="shared" si="0"/>
        <v>5</v>
      </c>
      <c r="B6" s="230" t="s">
        <v>306</v>
      </c>
      <c r="C6" s="230" t="s">
        <v>306</v>
      </c>
      <c r="D6" s="144" t="s">
        <v>53</v>
      </c>
      <c r="E6" s="146" t="s">
        <v>341</v>
      </c>
      <c r="F6" s="280">
        <v>2503526</v>
      </c>
      <c r="G6" s="267">
        <v>0</v>
      </c>
      <c r="H6" s="267">
        <v>2503526</v>
      </c>
      <c r="I6" s="267">
        <f>34311.02+54931.56+1270.32+707.26+33057.36-540</f>
        <v>123737.51999999999</v>
      </c>
      <c r="J6" s="267">
        <v>183737.52</v>
      </c>
      <c r="K6" s="267">
        <f>2503526+489352</f>
        <v>2992878</v>
      </c>
      <c r="L6" s="267">
        <v>0</v>
      </c>
      <c r="M6" s="267">
        <v>0</v>
      </c>
      <c r="N6" s="267">
        <v>0</v>
      </c>
      <c r="O6" s="236" t="s">
        <v>493</v>
      </c>
      <c r="P6" s="146" t="s">
        <v>355</v>
      </c>
      <c r="Q6" s="153" t="s">
        <v>480</v>
      </c>
      <c r="R6" s="280">
        <f>1676616+1500000</f>
        <v>3176616</v>
      </c>
      <c r="S6" s="280"/>
      <c r="T6" s="280">
        <f>1676616+1500000</f>
        <v>3176616</v>
      </c>
      <c r="U6" s="153" t="s">
        <v>53</v>
      </c>
      <c r="V6" s="153" t="s">
        <v>303</v>
      </c>
      <c r="W6" s="153"/>
      <c r="X6" s="153"/>
      <c r="Y6" s="153"/>
      <c r="Z6" s="153" t="s">
        <v>316</v>
      </c>
      <c r="AA6" s="153"/>
      <c r="AB6" s="153"/>
      <c r="AC6" s="153"/>
      <c r="AD6" s="153"/>
    </row>
    <row r="7" spans="1:30">
      <c r="A7" s="142">
        <f t="shared" si="0"/>
        <v>6</v>
      </c>
      <c r="B7" s="230" t="s">
        <v>332</v>
      </c>
      <c r="C7" s="230" t="s">
        <v>414</v>
      </c>
      <c r="D7" s="144" t="s">
        <v>53</v>
      </c>
      <c r="E7" s="146" t="s">
        <v>341</v>
      </c>
      <c r="F7" s="150">
        <v>0</v>
      </c>
      <c r="G7" s="150">
        <v>659750</v>
      </c>
      <c r="H7" s="154">
        <v>0</v>
      </c>
      <c r="I7" s="154">
        <v>0</v>
      </c>
      <c r="J7" s="154">
        <v>0</v>
      </c>
      <c r="K7" s="154">
        <v>0</v>
      </c>
      <c r="L7" s="154">
        <v>0</v>
      </c>
      <c r="M7" s="154">
        <v>0</v>
      </c>
      <c r="N7" s="154">
        <v>0</v>
      </c>
      <c r="O7" s="236" t="s">
        <v>349</v>
      </c>
      <c r="P7" s="146" t="s">
        <v>355</v>
      </c>
      <c r="Q7" s="153"/>
      <c r="R7" s="150">
        <v>827390</v>
      </c>
      <c r="S7" s="150">
        <v>657183</v>
      </c>
      <c r="T7" s="150">
        <v>827390</v>
      </c>
      <c r="U7" s="153" t="s">
        <v>53</v>
      </c>
      <c r="V7" s="153" t="s">
        <v>303</v>
      </c>
      <c r="W7" s="153"/>
      <c r="X7" s="153"/>
      <c r="Y7" s="153"/>
      <c r="Z7" s="153" t="s">
        <v>316</v>
      </c>
      <c r="AA7" s="153"/>
      <c r="AB7" s="153"/>
      <c r="AC7" s="153"/>
      <c r="AD7" s="153"/>
    </row>
    <row r="8" spans="1:30">
      <c r="A8" s="142">
        <f t="shared" si="0"/>
        <v>7</v>
      </c>
      <c r="B8" s="230" t="s">
        <v>333</v>
      </c>
      <c r="C8" s="230" t="s">
        <v>415</v>
      </c>
      <c r="D8" s="144" t="s">
        <v>53</v>
      </c>
      <c r="E8" s="146" t="s">
        <v>341</v>
      </c>
      <c r="F8" s="150">
        <v>0</v>
      </c>
      <c r="G8" s="150">
        <v>167640</v>
      </c>
      <c r="H8" s="154">
        <v>0</v>
      </c>
      <c r="I8" s="154">
        <v>0</v>
      </c>
      <c r="J8" s="154">
        <v>0</v>
      </c>
      <c r="K8" s="154">
        <v>0</v>
      </c>
      <c r="L8" s="154">
        <v>0</v>
      </c>
      <c r="M8" s="154">
        <v>0</v>
      </c>
      <c r="N8" s="154">
        <v>0</v>
      </c>
      <c r="O8" s="236"/>
      <c r="P8" s="146"/>
      <c r="Q8" s="153"/>
      <c r="R8" s="150"/>
      <c r="S8" s="150"/>
      <c r="T8" s="150"/>
      <c r="U8" s="153" t="s">
        <v>53</v>
      </c>
      <c r="V8" s="153" t="s">
        <v>303</v>
      </c>
      <c r="W8" s="153"/>
      <c r="X8" s="153"/>
      <c r="Y8" s="153"/>
      <c r="Z8" s="153" t="s">
        <v>316</v>
      </c>
      <c r="AA8" s="153"/>
      <c r="AB8" s="153"/>
      <c r="AC8" s="153"/>
      <c r="AD8" s="153"/>
    </row>
    <row r="9" spans="1:30">
      <c r="A9" s="142">
        <f t="shared" si="0"/>
        <v>8</v>
      </c>
      <c r="B9" s="230" t="s">
        <v>505</v>
      </c>
      <c r="C9" s="230" t="s">
        <v>505</v>
      </c>
      <c r="D9" s="144" t="s">
        <v>53</v>
      </c>
      <c r="E9" s="146" t="s">
        <v>361</v>
      </c>
      <c r="F9" s="150">
        <v>2100000</v>
      </c>
      <c r="G9" s="150">
        <v>1548771.65</v>
      </c>
      <c r="H9" s="154">
        <v>0</v>
      </c>
      <c r="I9" s="154">
        <f>1976+68876.01+1489.05+1443.25+1309.03+2939.1+2493.8</f>
        <v>80526.240000000005</v>
      </c>
      <c r="J9" s="154">
        <f>1976+68876.01+1489.05+1443.25+1309.03+2939.1+2493.8</f>
        <v>80526.240000000005</v>
      </c>
      <c r="K9" s="154">
        <v>0</v>
      </c>
      <c r="L9" s="154">
        <v>0</v>
      </c>
      <c r="M9" s="154">
        <v>0</v>
      </c>
      <c r="N9" s="235">
        <v>0</v>
      </c>
      <c r="O9" s="236"/>
      <c r="P9" s="146"/>
      <c r="Q9" s="153"/>
      <c r="R9" s="150"/>
      <c r="S9" s="150"/>
      <c r="T9" s="150"/>
      <c r="U9" s="153" t="s">
        <v>53</v>
      </c>
      <c r="V9" s="153" t="s">
        <v>303</v>
      </c>
      <c r="W9" s="153"/>
      <c r="X9" s="153"/>
      <c r="Y9" s="153"/>
      <c r="Z9" s="153" t="s">
        <v>307</v>
      </c>
      <c r="AA9" s="153"/>
      <c r="AB9" s="153"/>
      <c r="AC9" s="153"/>
      <c r="AD9" s="153"/>
    </row>
    <row r="10" spans="1:30">
      <c r="A10" s="142">
        <f t="shared" si="0"/>
        <v>9</v>
      </c>
      <c r="B10" s="230" t="s">
        <v>311</v>
      </c>
      <c r="C10" s="230" t="s">
        <v>311</v>
      </c>
      <c r="D10" s="144" t="s">
        <v>53</v>
      </c>
      <c r="E10" s="146" t="s">
        <v>343</v>
      </c>
      <c r="F10" s="150">
        <v>12000</v>
      </c>
      <c r="G10" s="150">
        <v>9867.0400000000009</v>
      </c>
      <c r="H10" s="154">
        <v>0</v>
      </c>
      <c r="I10" s="154">
        <f>H10</f>
        <v>0</v>
      </c>
      <c r="J10" s="154">
        <v>0</v>
      </c>
      <c r="K10" s="154">
        <v>0</v>
      </c>
      <c r="L10" s="154">
        <v>0</v>
      </c>
      <c r="M10" s="154">
        <v>0</v>
      </c>
      <c r="N10" s="235">
        <v>0</v>
      </c>
      <c r="O10" s="236"/>
      <c r="P10" s="146"/>
      <c r="Q10" s="153"/>
      <c r="R10" s="150"/>
      <c r="S10" s="150"/>
      <c r="T10" s="150"/>
      <c r="U10" s="153" t="s">
        <v>53</v>
      </c>
      <c r="V10" s="153" t="s">
        <v>303</v>
      </c>
      <c r="W10" s="153" t="s">
        <v>29</v>
      </c>
      <c r="X10" s="153"/>
      <c r="Y10" s="153" t="s">
        <v>319</v>
      </c>
      <c r="Z10" s="153" t="s">
        <v>317</v>
      </c>
      <c r="AA10" s="153"/>
      <c r="AB10" s="153"/>
      <c r="AC10" s="153"/>
      <c r="AD10" s="153"/>
    </row>
    <row r="11" spans="1:30">
      <c r="A11" s="142">
        <f t="shared" si="0"/>
        <v>10</v>
      </c>
      <c r="B11" s="230" t="s">
        <v>399</v>
      </c>
      <c r="C11" s="230" t="s">
        <v>400</v>
      </c>
      <c r="D11" s="144" t="s">
        <v>53</v>
      </c>
      <c r="E11" s="146" t="s">
        <v>344</v>
      </c>
      <c r="F11" s="150">
        <v>130000</v>
      </c>
      <c r="G11" s="154">
        <v>75032</v>
      </c>
      <c r="H11" s="154">
        <v>54458</v>
      </c>
      <c r="I11" s="154">
        <v>0</v>
      </c>
      <c r="J11" s="154">
        <v>54458</v>
      </c>
      <c r="K11" s="154">
        <v>0</v>
      </c>
      <c r="L11" s="154">
        <v>0</v>
      </c>
      <c r="M11" s="154">
        <v>0</v>
      </c>
      <c r="N11" s="235">
        <v>0</v>
      </c>
      <c r="O11" s="236"/>
      <c r="P11" s="146"/>
      <c r="Q11" s="153"/>
      <c r="R11" s="150"/>
      <c r="S11" s="150"/>
      <c r="T11" s="150"/>
      <c r="U11" s="153" t="s">
        <v>53</v>
      </c>
      <c r="V11" s="153" t="s">
        <v>303</v>
      </c>
      <c r="W11" s="153" t="s">
        <v>29</v>
      </c>
      <c r="X11" s="153"/>
      <c r="Y11" s="153" t="s">
        <v>320</v>
      </c>
      <c r="Z11" s="153" t="s">
        <v>322</v>
      </c>
      <c r="AA11" s="153"/>
      <c r="AB11" s="153"/>
      <c r="AC11" s="153"/>
      <c r="AD11" s="153"/>
    </row>
    <row r="12" spans="1:30">
      <c r="A12" s="142">
        <f t="shared" si="0"/>
        <v>11</v>
      </c>
      <c r="B12" s="230" t="s">
        <v>401</v>
      </c>
      <c r="C12" s="230" t="s">
        <v>402</v>
      </c>
      <c r="D12" s="144" t="s">
        <v>53</v>
      </c>
      <c r="E12" s="146" t="s">
        <v>344</v>
      </c>
      <c r="F12" s="150">
        <v>265000</v>
      </c>
      <c r="G12" s="154">
        <v>0</v>
      </c>
      <c r="H12" s="154">
        <v>136877</v>
      </c>
      <c r="I12" s="154">
        <v>128164.41</v>
      </c>
      <c r="J12" s="154">
        <v>136877</v>
      </c>
      <c r="K12" s="154">
        <v>0</v>
      </c>
      <c r="L12" s="154">
        <v>0</v>
      </c>
      <c r="M12" s="154">
        <v>0</v>
      </c>
      <c r="N12" s="235">
        <v>0</v>
      </c>
      <c r="O12" s="236"/>
      <c r="P12" s="146"/>
      <c r="Q12" s="153"/>
      <c r="R12" s="150"/>
      <c r="S12" s="150"/>
      <c r="T12" s="150"/>
      <c r="U12" s="153" t="s">
        <v>53</v>
      </c>
      <c r="V12" s="153" t="s">
        <v>303</v>
      </c>
      <c r="W12" s="153" t="s">
        <v>29</v>
      </c>
      <c r="X12" s="153"/>
      <c r="Y12" s="153" t="s">
        <v>321</v>
      </c>
      <c r="Z12" s="153" t="s">
        <v>322</v>
      </c>
      <c r="AA12" s="153"/>
      <c r="AB12" s="153"/>
      <c r="AC12" s="153"/>
      <c r="AD12" s="153"/>
    </row>
    <row r="13" spans="1:30">
      <c r="A13" s="142">
        <f t="shared" si="0"/>
        <v>12</v>
      </c>
      <c r="B13" s="230" t="s">
        <v>318</v>
      </c>
      <c r="C13" s="230" t="s">
        <v>403</v>
      </c>
      <c r="D13" s="144" t="s">
        <v>53</v>
      </c>
      <c r="E13" s="146" t="s">
        <v>344</v>
      </c>
      <c r="F13" s="150">
        <v>78000</v>
      </c>
      <c r="G13" s="150">
        <v>74500</v>
      </c>
      <c r="H13" s="154">
        <v>0</v>
      </c>
      <c r="I13" s="154">
        <v>0</v>
      </c>
      <c r="J13" s="154">
        <v>0</v>
      </c>
      <c r="K13" s="154">
        <v>0</v>
      </c>
      <c r="L13" s="154">
        <v>0</v>
      </c>
      <c r="M13" s="154">
        <v>0</v>
      </c>
      <c r="N13" s="235">
        <v>0</v>
      </c>
      <c r="O13" s="236"/>
      <c r="P13" s="146"/>
      <c r="Q13" s="153"/>
      <c r="R13" s="150"/>
      <c r="S13" s="150"/>
      <c r="T13" s="150"/>
      <c r="U13" s="153" t="s">
        <v>53</v>
      </c>
      <c r="V13" s="153" t="s">
        <v>303</v>
      </c>
      <c r="W13" s="153" t="s">
        <v>29</v>
      </c>
      <c r="X13" s="153"/>
      <c r="Y13" s="153" t="s">
        <v>313</v>
      </c>
      <c r="Z13" s="153" t="s">
        <v>322</v>
      </c>
      <c r="AA13" s="153"/>
      <c r="AB13" s="153"/>
      <c r="AC13" s="153"/>
      <c r="AD13" s="153"/>
    </row>
    <row r="14" spans="1:30">
      <c r="A14" s="142">
        <f t="shared" si="0"/>
        <v>13</v>
      </c>
      <c r="B14" s="230" t="s">
        <v>311</v>
      </c>
      <c r="C14" s="230" t="s">
        <v>311</v>
      </c>
      <c r="D14" s="144" t="s">
        <v>53</v>
      </c>
      <c r="E14" s="146" t="s">
        <v>398</v>
      </c>
      <c r="F14" s="150">
        <v>0</v>
      </c>
      <c r="G14" s="150">
        <v>0</v>
      </c>
      <c r="H14" s="154">
        <v>12500</v>
      </c>
      <c r="I14" s="154">
        <v>10771.04</v>
      </c>
      <c r="J14" s="154">
        <v>10771.04</v>
      </c>
      <c r="K14" s="154">
        <v>0</v>
      </c>
      <c r="L14" s="154">
        <v>0</v>
      </c>
      <c r="M14" s="154">
        <v>0</v>
      </c>
      <c r="N14" s="235">
        <v>0</v>
      </c>
      <c r="O14" s="236"/>
      <c r="P14" s="146"/>
      <c r="Q14" s="153"/>
      <c r="R14" s="150"/>
      <c r="S14" s="150"/>
      <c r="T14" s="150"/>
      <c r="U14" s="153" t="s">
        <v>53</v>
      </c>
      <c r="V14" s="153" t="s">
        <v>303</v>
      </c>
      <c r="W14" s="153"/>
      <c r="X14" s="153"/>
      <c r="Y14" s="153"/>
      <c r="Z14" s="153" t="s">
        <v>317</v>
      </c>
      <c r="AA14" s="153"/>
      <c r="AB14" s="153"/>
      <c r="AC14" s="153"/>
      <c r="AD14" s="153"/>
    </row>
    <row r="15" spans="1:30">
      <c r="A15" s="142">
        <f t="shared" si="0"/>
        <v>14</v>
      </c>
      <c r="B15" s="230" t="s">
        <v>416</v>
      </c>
      <c r="C15" s="230" t="s">
        <v>417</v>
      </c>
      <c r="D15" s="144" t="s">
        <v>53</v>
      </c>
      <c r="E15" s="146" t="s">
        <v>344</v>
      </c>
      <c r="F15" s="150">
        <v>0</v>
      </c>
      <c r="G15" s="150">
        <v>0</v>
      </c>
      <c r="H15" s="154">
        <v>320000</v>
      </c>
      <c r="I15" s="154">
        <v>0</v>
      </c>
      <c r="J15" s="154">
        <v>320000</v>
      </c>
      <c r="K15" s="154">
        <v>0</v>
      </c>
      <c r="L15" s="154">
        <v>0</v>
      </c>
      <c r="M15" s="154">
        <v>0</v>
      </c>
      <c r="N15" s="235">
        <v>0</v>
      </c>
      <c r="O15" s="236"/>
      <c r="P15" s="146"/>
      <c r="Q15" s="153"/>
      <c r="R15" s="150"/>
      <c r="S15" s="150"/>
      <c r="T15" s="150"/>
      <c r="U15" s="153" t="s">
        <v>53</v>
      </c>
      <c r="V15" s="153" t="s">
        <v>303</v>
      </c>
      <c r="W15" s="153"/>
      <c r="X15" s="153"/>
      <c r="Y15" s="153"/>
      <c r="Z15" s="153" t="s">
        <v>322</v>
      </c>
      <c r="AA15" s="153"/>
      <c r="AB15" s="153"/>
      <c r="AC15" s="153"/>
      <c r="AD15" s="153"/>
    </row>
    <row r="16" spans="1:30">
      <c r="A16" s="142">
        <f t="shared" si="0"/>
        <v>15</v>
      </c>
      <c r="B16" s="230" t="s">
        <v>418</v>
      </c>
      <c r="C16" s="230" t="s">
        <v>419</v>
      </c>
      <c r="D16" s="144" t="s">
        <v>53</v>
      </c>
      <c r="E16" s="146" t="s">
        <v>484</v>
      </c>
      <c r="F16" s="150">
        <v>0</v>
      </c>
      <c r="G16" s="150">
        <v>0</v>
      </c>
      <c r="H16" s="154">
        <v>78000</v>
      </c>
      <c r="I16" s="154">
        <v>62688.5</v>
      </c>
      <c r="J16" s="154">
        <f>62688.5</f>
        <v>62688.5</v>
      </c>
      <c r="K16" s="154">
        <v>0</v>
      </c>
      <c r="L16" s="154">
        <v>0</v>
      </c>
      <c r="M16" s="154">
        <v>0</v>
      </c>
      <c r="N16" s="235">
        <v>0</v>
      </c>
      <c r="O16" s="236"/>
      <c r="P16" s="146"/>
      <c r="Q16" s="153"/>
      <c r="R16" s="150"/>
      <c r="S16" s="150"/>
      <c r="T16" s="150"/>
      <c r="U16" s="153" t="s">
        <v>53</v>
      </c>
      <c r="V16" s="153" t="s">
        <v>303</v>
      </c>
      <c r="W16" s="153"/>
      <c r="X16" s="153"/>
      <c r="Y16" s="153"/>
      <c r="Z16" s="153" t="s">
        <v>323</v>
      </c>
      <c r="AA16" s="153"/>
      <c r="AB16" s="153"/>
      <c r="AC16" s="153"/>
      <c r="AD16" s="153"/>
    </row>
    <row r="17" spans="1:30">
      <c r="A17" s="142">
        <f t="shared" si="0"/>
        <v>16</v>
      </c>
      <c r="B17" s="230" t="s">
        <v>630</v>
      </c>
      <c r="C17" s="230" t="s">
        <v>617</v>
      </c>
      <c r="D17" s="144" t="s">
        <v>53</v>
      </c>
      <c r="E17" s="146" t="s">
        <v>631</v>
      </c>
      <c r="F17" s="150"/>
      <c r="G17" s="150">
        <v>0</v>
      </c>
      <c r="H17" s="154">
        <v>0</v>
      </c>
      <c r="I17" s="154">
        <v>0</v>
      </c>
      <c r="J17" s="154">
        <v>0</v>
      </c>
      <c r="K17" s="154">
        <v>0</v>
      </c>
      <c r="L17" s="154">
        <v>33000</v>
      </c>
      <c r="M17" s="154">
        <v>0</v>
      </c>
      <c r="N17" s="154">
        <v>0</v>
      </c>
      <c r="O17" s="236"/>
      <c r="P17" s="146"/>
      <c r="Q17" s="153"/>
      <c r="R17" s="150"/>
      <c r="S17" s="150"/>
      <c r="T17" s="150"/>
      <c r="U17" s="153" t="s">
        <v>53</v>
      </c>
      <c r="V17" s="153" t="s">
        <v>303</v>
      </c>
      <c r="W17" s="153"/>
      <c r="X17" s="153"/>
      <c r="Y17" s="153"/>
      <c r="Z17" s="153"/>
      <c r="AA17" s="153"/>
      <c r="AB17" s="153"/>
      <c r="AC17" s="153"/>
      <c r="AD17" s="153"/>
    </row>
    <row r="18" spans="1:30">
      <c r="A18" s="142">
        <f t="shared" si="0"/>
        <v>17</v>
      </c>
      <c r="B18" s="230" t="s">
        <v>618</v>
      </c>
      <c r="C18" s="230" t="s">
        <v>426</v>
      </c>
      <c r="D18" s="144" t="s">
        <v>53</v>
      </c>
      <c r="E18" s="237" t="s">
        <v>484</v>
      </c>
      <c r="F18" s="150">
        <v>0</v>
      </c>
      <c r="G18" s="150">
        <v>0</v>
      </c>
      <c r="H18" s="154">
        <v>0</v>
      </c>
      <c r="I18" s="154">
        <v>0</v>
      </c>
      <c r="J18" s="154">
        <v>0</v>
      </c>
      <c r="K18" s="154">
        <v>0</v>
      </c>
      <c r="L18" s="154">
        <v>0</v>
      </c>
      <c r="M18" s="154">
        <v>205000</v>
      </c>
      <c r="N18" s="235">
        <v>0</v>
      </c>
      <c r="O18" s="236"/>
      <c r="P18" s="146"/>
      <c r="Q18" s="153"/>
      <c r="R18" s="150"/>
      <c r="S18" s="150"/>
      <c r="T18" s="150"/>
      <c r="U18" s="153" t="s">
        <v>53</v>
      </c>
      <c r="V18" s="153" t="s">
        <v>303</v>
      </c>
      <c r="W18" s="153"/>
      <c r="X18" s="153"/>
      <c r="Y18" s="153"/>
      <c r="Z18" s="153" t="s">
        <v>322</v>
      </c>
      <c r="AA18" s="153"/>
      <c r="AB18" s="153"/>
      <c r="AC18" s="153"/>
      <c r="AD18" s="153"/>
    </row>
    <row r="19" spans="1:30">
      <c r="A19" s="142">
        <f t="shared" si="0"/>
        <v>18</v>
      </c>
      <c r="B19" s="230" t="s">
        <v>429</v>
      </c>
      <c r="C19" s="230" t="s">
        <v>429</v>
      </c>
      <c r="D19" s="144" t="s">
        <v>53</v>
      </c>
      <c r="E19" s="146" t="s">
        <v>361</v>
      </c>
      <c r="F19" s="154">
        <v>0</v>
      </c>
      <c r="G19" s="150">
        <v>0</v>
      </c>
      <c r="H19" s="154">
        <v>2000000</v>
      </c>
      <c r="I19" s="154">
        <f>1538908.68-I9</f>
        <v>1458382.44</v>
      </c>
      <c r="J19" s="154">
        <v>2000000</v>
      </c>
      <c r="K19" s="154">
        <v>0</v>
      </c>
      <c r="L19" s="154">
        <v>0</v>
      </c>
      <c r="M19" s="154">
        <v>0</v>
      </c>
      <c r="N19" s="235">
        <v>0</v>
      </c>
      <c r="O19" s="236" t="s">
        <v>430</v>
      </c>
      <c r="P19" s="146"/>
      <c r="Q19" s="153"/>
      <c r="R19" s="150"/>
      <c r="S19" s="150"/>
      <c r="T19" s="150"/>
      <c r="U19" s="153" t="s">
        <v>53</v>
      </c>
      <c r="V19" s="153" t="s">
        <v>303</v>
      </c>
      <c r="W19" s="153"/>
      <c r="X19" s="153"/>
      <c r="Y19" s="153"/>
      <c r="Z19" s="153" t="s">
        <v>307</v>
      </c>
      <c r="AA19" s="153"/>
      <c r="AB19" s="153"/>
      <c r="AC19" s="153"/>
      <c r="AD19" s="153"/>
    </row>
    <row r="20" spans="1:30">
      <c r="A20" s="142">
        <f t="shared" si="0"/>
        <v>19</v>
      </c>
      <c r="B20" s="230" t="s">
        <v>431</v>
      </c>
      <c r="C20" s="230" t="s">
        <v>431</v>
      </c>
      <c r="D20" s="144" t="s">
        <v>53</v>
      </c>
      <c r="E20" s="146" t="s">
        <v>361</v>
      </c>
      <c r="F20" s="154">
        <v>0</v>
      </c>
      <c r="G20" s="150">
        <v>0</v>
      </c>
      <c r="H20" s="154">
        <v>0</v>
      </c>
      <c r="I20" s="154">
        <v>0</v>
      </c>
      <c r="J20" s="154">
        <v>0</v>
      </c>
      <c r="K20" s="154">
        <v>7000000</v>
      </c>
      <c r="L20" s="154">
        <v>0</v>
      </c>
      <c r="M20" s="154">
        <v>0</v>
      </c>
      <c r="N20" s="235">
        <v>0</v>
      </c>
      <c r="O20" s="236"/>
      <c r="P20" s="146"/>
      <c r="Q20" s="153"/>
      <c r="R20" s="150"/>
      <c r="S20" s="150"/>
      <c r="T20" s="150"/>
      <c r="U20" s="153" t="s">
        <v>53</v>
      </c>
      <c r="V20" s="153" t="s">
        <v>303</v>
      </c>
      <c r="W20" s="153"/>
      <c r="X20" s="153"/>
      <c r="Y20" s="153"/>
      <c r="Z20" s="153" t="s">
        <v>307</v>
      </c>
      <c r="AA20" s="153"/>
      <c r="AB20" s="153"/>
      <c r="AC20" s="153"/>
      <c r="AD20" s="153"/>
    </row>
    <row r="21" spans="1:30">
      <c r="A21" s="142">
        <f t="shared" si="0"/>
        <v>20</v>
      </c>
      <c r="B21" s="230" t="s">
        <v>432</v>
      </c>
      <c r="C21" s="230" t="s">
        <v>432</v>
      </c>
      <c r="D21" s="144" t="s">
        <v>53</v>
      </c>
      <c r="E21" s="146" t="s">
        <v>361</v>
      </c>
      <c r="F21" s="154">
        <v>0</v>
      </c>
      <c r="G21" s="150">
        <v>0</v>
      </c>
      <c r="H21" s="154">
        <v>0</v>
      </c>
      <c r="I21" s="154">
        <v>0</v>
      </c>
      <c r="J21" s="154">
        <v>0</v>
      </c>
      <c r="K21" s="154">
        <v>0</v>
      </c>
      <c r="L21" s="154">
        <v>7000000</v>
      </c>
      <c r="M21" s="154">
        <v>0</v>
      </c>
      <c r="N21" s="235">
        <v>0</v>
      </c>
      <c r="O21" s="236"/>
      <c r="P21" s="146"/>
      <c r="Q21" s="153"/>
      <c r="R21" s="150"/>
      <c r="S21" s="150"/>
      <c r="T21" s="150"/>
      <c r="U21" s="153" t="s">
        <v>53</v>
      </c>
      <c r="V21" s="153" t="s">
        <v>303</v>
      </c>
      <c r="W21" s="153"/>
      <c r="X21" s="153"/>
      <c r="Y21" s="153"/>
      <c r="Z21" s="153" t="s">
        <v>307</v>
      </c>
      <c r="AA21" s="153"/>
      <c r="AB21" s="153"/>
      <c r="AC21" s="153"/>
      <c r="AD21" s="153"/>
    </row>
    <row r="22" spans="1:30">
      <c r="A22" s="142">
        <f t="shared" si="0"/>
        <v>21</v>
      </c>
      <c r="B22" s="230" t="s">
        <v>433</v>
      </c>
      <c r="C22" s="230" t="s">
        <v>433</v>
      </c>
      <c r="D22" s="144" t="s">
        <v>53</v>
      </c>
      <c r="E22" s="146" t="s">
        <v>361</v>
      </c>
      <c r="F22" s="154">
        <v>0</v>
      </c>
      <c r="G22" s="150">
        <v>0</v>
      </c>
      <c r="H22" s="154">
        <v>0</v>
      </c>
      <c r="I22" s="154">
        <v>0</v>
      </c>
      <c r="J22" s="154">
        <v>0</v>
      </c>
      <c r="K22" s="154">
        <v>0</v>
      </c>
      <c r="L22" s="154">
        <v>0</v>
      </c>
      <c r="M22" s="154">
        <v>2000000</v>
      </c>
      <c r="N22" s="154">
        <v>2000000</v>
      </c>
      <c r="O22" s="236"/>
      <c r="P22" s="146"/>
      <c r="Q22" s="153"/>
      <c r="R22" s="150"/>
      <c r="S22" s="150"/>
      <c r="T22" s="150"/>
      <c r="U22" s="153" t="s">
        <v>53</v>
      </c>
      <c r="V22" s="153" t="s">
        <v>303</v>
      </c>
      <c r="W22" s="153"/>
      <c r="X22" s="153"/>
      <c r="Y22" s="153"/>
      <c r="Z22" s="146" t="s">
        <v>387</v>
      </c>
      <c r="AA22" s="153"/>
      <c r="AB22" s="153"/>
      <c r="AC22" s="153"/>
      <c r="AD22" s="153"/>
    </row>
    <row r="23" spans="1:30">
      <c r="A23" s="142">
        <f t="shared" si="0"/>
        <v>22</v>
      </c>
      <c r="B23" s="230" t="s">
        <v>619</v>
      </c>
      <c r="C23" s="230" t="s">
        <v>620</v>
      </c>
      <c r="D23" s="144" t="s">
        <v>53</v>
      </c>
      <c r="E23" s="144" t="s">
        <v>632</v>
      </c>
      <c r="F23" s="154">
        <v>0</v>
      </c>
      <c r="G23" s="150">
        <v>0</v>
      </c>
      <c r="H23" s="154">
        <v>0</v>
      </c>
      <c r="I23" s="154">
        <v>0</v>
      </c>
      <c r="J23" s="154">
        <v>0</v>
      </c>
      <c r="K23" s="154">
        <v>0</v>
      </c>
      <c r="L23" s="154">
        <v>45000000</v>
      </c>
      <c r="M23" s="154">
        <v>0</v>
      </c>
      <c r="N23" s="150">
        <v>0</v>
      </c>
      <c r="O23" s="154"/>
      <c r="P23" s="154"/>
      <c r="Q23" s="154"/>
      <c r="R23" s="154"/>
      <c r="S23" s="150"/>
      <c r="T23" s="150"/>
      <c r="U23" s="153" t="s">
        <v>53</v>
      </c>
      <c r="V23" s="153" t="s">
        <v>303</v>
      </c>
      <c r="W23" s="153"/>
      <c r="X23" s="153"/>
      <c r="Y23" s="153"/>
      <c r="Z23" s="146"/>
      <c r="AA23" s="153"/>
      <c r="AB23" s="153"/>
      <c r="AC23" s="153"/>
      <c r="AD23" s="153"/>
    </row>
    <row r="24" spans="1:30">
      <c r="A24" s="142">
        <f t="shared" si="0"/>
        <v>23</v>
      </c>
      <c r="B24" s="230" t="s">
        <v>434</v>
      </c>
      <c r="C24" s="230" t="s">
        <v>434</v>
      </c>
      <c r="D24" s="144" t="s">
        <v>53</v>
      </c>
      <c r="E24" s="144" t="s">
        <v>632</v>
      </c>
      <c r="F24" s="154">
        <v>0</v>
      </c>
      <c r="G24" s="154">
        <v>0</v>
      </c>
      <c r="H24" s="154">
        <v>0</v>
      </c>
      <c r="I24" s="154">
        <v>0</v>
      </c>
      <c r="J24" s="154">
        <v>0</v>
      </c>
      <c r="K24" s="154">
        <v>0</v>
      </c>
      <c r="L24" s="267">
        <v>450000</v>
      </c>
      <c r="M24" s="267">
        <v>0</v>
      </c>
      <c r="N24" s="279">
        <v>0</v>
      </c>
      <c r="O24" s="236"/>
      <c r="P24" s="146"/>
      <c r="Q24" s="153"/>
      <c r="R24" s="150"/>
      <c r="S24" s="150"/>
      <c r="T24" s="150"/>
      <c r="U24" s="153" t="s">
        <v>53</v>
      </c>
      <c r="V24" s="153" t="s">
        <v>303</v>
      </c>
      <c r="W24" s="153"/>
      <c r="X24" s="153"/>
      <c r="Y24" s="153"/>
      <c r="Z24" s="146" t="s">
        <v>387</v>
      </c>
      <c r="AA24" s="153"/>
      <c r="AB24" s="153"/>
      <c r="AC24" s="153"/>
      <c r="AD24" s="153"/>
    </row>
    <row r="25" spans="1:30">
      <c r="A25" s="142">
        <f t="shared" si="0"/>
        <v>24</v>
      </c>
      <c r="B25" s="230" t="s">
        <v>435</v>
      </c>
      <c r="C25" s="230" t="s">
        <v>435</v>
      </c>
      <c r="D25" s="144" t="s">
        <v>53</v>
      </c>
      <c r="E25" s="144" t="s">
        <v>632</v>
      </c>
      <c r="F25" s="154">
        <v>0</v>
      </c>
      <c r="G25" s="154">
        <v>0</v>
      </c>
      <c r="H25" s="154">
        <v>0</v>
      </c>
      <c r="I25" s="154">
        <v>0</v>
      </c>
      <c r="J25" s="154">
        <v>0</v>
      </c>
      <c r="K25" s="154">
        <v>0</v>
      </c>
      <c r="L25" s="267">
        <v>65000</v>
      </c>
      <c r="M25" s="267">
        <v>0</v>
      </c>
      <c r="N25" s="279">
        <v>0</v>
      </c>
      <c r="O25" s="236"/>
      <c r="P25" s="146"/>
      <c r="Q25" s="153"/>
      <c r="R25" s="150"/>
      <c r="S25" s="150"/>
      <c r="T25" s="150"/>
      <c r="U25" s="153" t="s">
        <v>53</v>
      </c>
      <c r="V25" s="153" t="s">
        <v>303</v>
      </c>
      <c r="W25" s="153"/>
      <c r="X25" s="153"/>
      <c r="Y25" s="153"/>
      <c r="Z25" s="146" t="s">
        <v>387</v>
      </c>
      <c r="AA25" s="153"/>
      <c r="AB25" s="153"/>
      <c r="AC25" s="153"/>
      <c r="AD25" s="153"/>
    </row>
    <row r="26" spans="1:30">
      <c r="A26" s="142">
        <f t="shared" si="0"/>
        <v>25</v>
      </c>
      <c r="B26" s="230" t="s">
        <v>436</v>
      </c>
      <c r="C26" s="230" t="s">
        <v>436</v>
      </c>
      <c r="D26" s="144" t="s">
        <v>53</v>
      </c>
      <c r="E26" s="144" t="s">
        <v>632</v>
      </c>
      <c r="F26" s="154">
        <v>0</v>
      </c>
      <c r="G26" s="154">
        <v>0</v>
      </c>
      <c r="H26" s="154">
        <v>0</v>
      </c>
      <c r="I26" s="154">
        <v>0</v>
      </c>
      <c r="J26" s="154">
        <v>0</v>
      </c>
      <c r="K26" s="154">
        <v>0</v>
      </c>
      <c r="L26" s="267">
        <v>400000</v>
      </c>
      <c r="M26" s="267">
        <v>0</v>
      </c>
      <c r="N26" s="279">
        <v>0</v>
      </c>
      <c r="O26" s="236"/>
      <c r="P26" s="146"/>
      <c r="Q26" s="153"/>
      <c r="R26" s="150"/>
      <c r="S26" s="150"/>
      <c r="T26" s="150"/>
      <c r="U26" s="153" t="s">
        <v>53</v>
      </c>
      <c r="V26" s="153" t="s">
        <v>303</v>
      </c>
      <c r="W26" s="153"/>
      <c r="X26" s="153"/>
      <c r="Y26" s="153"/>
      <c r="Z26" s="146" t="s">
        <v>387</v>
      </c>
      <c r="AA26" s="153"/>
      <c r="AB26" s="153"/>
      <c r="AC26" s="153"/>
      <c r="AD26" s="153"/>
    </row>
    <row r="27" spans="1:30">
      <c r="A27" s="142">
        <f t="shared" si="0"/>
        <v>26</v>
      </c>
      <c r="B27" s="230" t="s">
        <v>437</v>
      </c>
      <c r="C27" s="230" t="s">
        <v>437</v>
      </c>
      <c r="D27" s="144" t="s">
        <v>53</v>
      </c>
      <c r="E27" s="144" t="s">
        <v>632</v>
      </c>
      <c r="F27" s="154">
        <v>0</v>
      </c>
      <c r="G27" s="154">
        <v>0</v>
      </c>
      <c r="H27" s="154">
        <v>0</v>
      </c>
      <c r="I27" s="154">
        <v>0</v>
      </c>
      <c r="J27" s="154">
        <v>0</v>
      </c>
      <c r="K27" s="154">
        <v>0</v>
      </c>
      <c r="L27" s="267">
        <v>100000</v>
      </c>
      <c r="M27" s="267">
        <v>0</v>
      </c>
      <c r="N27" s="279">
        <v>0</v>
      </c>
      <c r="O27" s="236"/>
      <c r="P27" s="146"/>
      <c r="Q27" s="153"/>
      <c r="R27" s="150"/>
      <c r="S27" s="150"/>
      <c r="T27" s="150"/>
      <c r="U27" s="153" t="s">
        <v>53</v>
      </c>
      <c r="V27" s="153" t="s">
        <v>303</v>
      </c>
      <c r="W27" s="153"/>
      <c r="X27" s="153"/>
      <c r="Y27" s="153"/>
      <c r="Z27" s="146" t="s">
        <v>387</v>
      </c>
      <c r="AA27" s="153"/>
      <c r="AB27" s="153"/>
      <c r="AC27" s="153"/>
      <c r="AD27" s="153"/>
    </row>
    <row r="28" spans="1:30">
      <c r="A28" s="142">
        <f t="shared" si="0"/>
        <v>27</v>
      </c>
      <c r="B28" s="230" t="s">
        <v>438</v>
      </c>
      <c r="C28" s="230" t="s">
        <v>438</v>
      </c>
      <c r="D28" s="144" t="s">
        <v>53</v>
      </c>
      <c r="E28" s="144" t="s">
        <v>632</v>
      </c>
      <c r="F28" s="154">
        <v>0</v>
      </c>
      <c r="G28" s="154">
        <v>0</v>
      </c>
      <c r="H28" s="154">
        <v>0</v>
      </c>
      <c r="I28" s="154">
        <v>0</v>
      </c>
      <c r="J28" s="154">
        <v>0</v>
      </c>
      <c r="K28" s="154">
        <v>0</v>
      </c>
      <c r="L28" s="267">
        <v>5000000</v>
      </c>
      <c r="M28" s="267">
        <v>0</v>
      </c>
      <c r="N28" s="279">
        <v>0</v>
      </c>
      <c r="O28" s="236"/>
      <c r="P28" s="146"/>
      <c r="Q28" s="153"/>
      <c r="R28" s="150"/>
      <c r="S28" s="150"/>
      <c r="T28" s="150"/>
      <c r="U28" s="153" t="s">
        <v>53</v>
      </c>
      <c r="V28" s="153" t="s">
        <v>303</v>
      </c>
      <c r="W28" s="153"/>
      <c r="X28" s="153"/>
      <c r="Y28" s="153"/>
      <c r="Z28" s="146" t="s">
        <v>387</v>
      </c>
      <c r="AA28" s="153"/>
      <c r="AB28" s="153"/>
      <c r="AC28" s="153"/>
      <c r="AD28" s="153"/>
    </row>
    <row r="29" spans="1:30">
      <c r="A29" s="142">
        <f t="shared" si="0"/>
        <v>28</v>
      </c>
      <c r="B29" s="230" t="s">
        <v>439</v>
      </c>
      <c r="C29" s="230" t="s">
        <v>439</v>
      </c>
      <c r="D29" s="144" t="s">
        <v>53</v>
      </c>
      <c r="E29" s="144" t="s">
        <v>632</v>
      </c>
      <c r="F29" s="154">
        <v>0</v>
      </c>
      <c r="G29" s="154">
        <v>0</v>
      </c>
      <c r="H29" s="154">
        <v>0</v>
      </c>
      <c r="I29" s="154">
        <v>0</v>
      </c>
      <c r="J29" s="154">
        <v>0</v>
      </c>
      <c r="K29" s="154">
        <v>0</v>
      </c>
      <c r="L29" s="267">
        <v>0</v>
      </c>
      <c r="M29" s="267">
        <v>25000</v>
      </c>
      <c r="N29" s="279">
        <v>0</v>
      </c>
      <c r="O29" s="236"/>
      <c r="P29" s="146"/>
      <c r="Q29" s="153"/>
      <c r="R29" s="150"/>
      <c r="S29" s="150"/>
      <c r="T29" s="150"/>
      <c r="U29" s="153" t="s">
        <v>53</v>
      </c>
      <c r="V29" s="153" t="s">
        <v>303</v>
      </c>
      <c r="W29" s="153"/>
      <c r="X29" s="153"/>
      <c r="Y29" s="153"/>
      <c r="Z29" s="146" t="s">
        <v>387</v>
      </c>
      <c r="AA29" s="153"/>
      <c r="AB29" s="153"/>
      <c r="AC29" s="153"/>
      <c r="AD29" s="153"/>
    </row>
    <row r="30" spans="1:30">
      <c r="A30" s="142">
        <f t="shared" si="0"/>
        <v>29</v>
      </c>
      <c r="B30" s="230" t="s">
        <v>440</v>
      </c>
      <c r="C30" s="230" t="s">
        <v>440</v>
      </c>
      <c r="D30" s="144" t="s">
        <v>53</v>
      </c>
      <c r="E30" s="144" t="s">
        <v>632</v>
      </c>
      <c r="F30" s="154">
        <v>0</v>
      </c>
      <c r="G30" s="154">
        <v>0</v>
      </c>
      <c r="H30" s="154">
        <v>0</v>
      </c>
      <c r="I30" s="154">
        <v>0</v>
      </c>
      <c r="J30" s="154">
        <v>0</v>
      </c>
      <c r="K30" s="154">
        <v>0</v>
      </c>
      <c r="L30" s="267">
        <v>75000</v>
      </c>
      <c r="M30" s="267">
        <v>0</v>
      </c>
      <c r="N30" s="279">
        <v>0</v>
      </c>
      <c r="O30" s="236"/>
      <c r="P30" s="146"/>
      <c r="Q30" s="153"/>
      <c r="R30" s="150"/>
      <c r="S30" s="150"/>
      <c r="T30" s="150"/>
      <c r="U30" s="153" t="s">
        <v>53</v>
      </c>
      <c r="V30" s="153" t="s">
        <v>303</v>
      </c>
      <c r="W30" s="153"/>
      <c r="X30" s="153"/>
      <c r="Y30" s="153"/>
      <c r="Z30" s="146" t="s">
        <v>387</v>
      </c>
      <c r="AA30" s="153"/>
      <c r="AB30" s="153"/>
      <c r="AC30" s="153"/>
      <c r="AD30" s="153"/>
    </row>
    <row r="31" spans="1:30">
      <c r="A31" s="142">
        <f t="shared" si="0"/>
        <v>30</v>
      </c>
      <c r="B31" s="230" t="s">
        <v>441</v>
      </c>
      <c r="C31" s="230" t="s">
        <v>441</v>
      </c>
      <c r="D31" s="144" t="s">
        <v>53</v>
      </c>
      <c r="E31" s="144" t="s">
        <v>632</v>
      </c>
      <c r="F31" s="154">
        <v>0</v>
      </c>
      <c r="G31" s="154">
        <v>0</v>
      </c>
      <c r="H31" s="154">
        <v>0</v>
      </c>
      <c r="I31" s="154">
        <v>0</v>
      </c>
      <c r="J31" s="154">
        <v>0</v>
      </c>
      <c r="K31" s="154">
        <v>0</v>
      </c>
      <c r="L31" s="267">
        <v>50000</v>
      </c>
      <c r="M31" s="267">
        <v>0</v>
      </c>
      <c r="N31" s="279">
        <v>0</v>
      </c>
      <c r="O31" s="236"/>
      <c r="P31" s="146"/>
      <c r="Q31" s="153"/>
      <c r="R31" s="150"/>
      <c r="S31" s="150"/>
      <c r="T31" s="150"/>
      <c r="U31" s="153" t="s">
        <v>53</v>
      </c>
      <c r="V31" s="153" t="s">
        <v>303</v>
      </c>
      <c r="W31" s="153"/>
      <c r="X31" s="153"/>
      <c r="Y31" s="153"/>
      <c r="Z31" s="146" t="s">
        <v>387</v>
      </c>
      <c r="AA31" s="153"/>
      <c r="AB31" s="153"/>
      <c r="AC31" s="153"/>
      <c r="AD31" s="153"/>
    </row>
    <row r="32" spans="1:30">
      <c r="A32" s="142">
        <f t="shared" si="0"/>
        <v>31</v>
      </c>
      <c r="B32" s="230" t="s">
        <v>442</v>
      </c>
      <c r="C32" s="230" t="s">
        <v>621</v>
      </c>
      <c r="D32" s="144" t="s">
        <v>53</v>
      </c>
      <c r="E32" s="144" t="s">
        <v>632</v>
      </c>
      <c r="F32" s="267">
        <v>0</v>
      </c>
      <c r="G32" s="267">
        <v>0</v>
      </c>
      <c r="H32" s="267">
        <v>0</v>
      </c>
      <c r="I32" s="267">
        <v>0</v>
      </c>
      <c r="J32" s="267">
        <v>0</v>
      </c>
      <c r="K32" s="267">
        <v>0</v>
      </c>
      <c r="L32" s="267">
        <v>135000</v>
      </c>
      <c r="M32" s="267">
        <v>0</v>
      </c>
      <c r="N32" s="279">
        <v>0</v>
      </c>
      <c r="O32" s="236"/>
      <c r="P32" s="146"/>
      <c r="Q32" s="153"/>
      <c r="R32" s="280"/>
      <c r="S32" s="280"/>
      <c r="T32" s="280"/>
      <c r="U32" s="153" t="s">
        <v>53</v>
      </c>
      <c r="V32" s="153" t="s">
        <v>303</v>
      </c>
      <c r="W32" s="153"/>
      <c r="X32" s="153"/>
      <c r="Y32" s="153"/>
      <c r="Z32" s="146" t="s">
        <v>387</v>
      </c>
      <c r="AA32" s="153"/>
      <c r="AB32" s="153"/>
      <c r="AC32" s="153"/>
      <c r="AD32" s="153"/>
    </row>
    <row r="33" spans="1:30">
      <c r="A33" s="142">
        <f t="shared" si="0"/>
        <v>32</v>
      </c>
      <c r="B33" s="230" t="s">
        <v>443</v>
      </c>
      <c r="C33" s="230" t="s">
        <v>443</v>
      </c>
      <c r="D33" s="144" t="s">
        <v>53</v>
      </c>
      <c r="E33" s="144" t="s">
        <v>632</v>
      </c>
      <c r="F33" s="154">
        <v>0</v>
      </c>
      <c r="G33" s="154">
        <v>0</v>
      </c>
      <c r="H33" s="154">
        <v>0</v>
      </c>
      <c r="I33" s="154">
        <v>0</v>
      </c>
      <c r="J33" s="154">
        <v>0</v>
      </c>
      <c r="K33" s="154">
        <v>0</v>
      </c>
      <c r="L33" s="267">
        <v>1500000</v>
      </c>
      <c r="M33" s="267">
        <v>0</v>
      </c>
      <c r="N33" s="279">
        <v>0</v>
      </c>
      <c r="O33" s="236"/>
      <c r="P33" s="146"/>
      <c r="Q33" s="153"/>
      <c r="R33" s="150"/>
      <c r="S33" s="150"/>
      <c r="T33" s="150"/>
      <c r="U33" s="153" t="s">
        <v>53</v>
      </c>
      <c r="V33" s="153" t="s">
        <v>303</v>
      </c>
      <c r="W33" s="153"/>
      <c r="X33" s="153"/>
      <c r="Y33" s="153"/>
      <c r="Z33" s="146" t="s">
        <v>387</v>
      </c>
      <c r="AA33" s="153"/>
      <c r="AB33" s="153"/>
      <c r="AC33" s="153"/>
      <c r="AD33" s="153"/>
    </row>
    <row r="34" spans="1:30">
      <c r="A34" s="142">
        <f t="shared" si="0"/>
        <v>33</v>
      </c>
      <c r="B34" s="230" t="s">
        <v>444</v>
      </c>
      <c r="C34" s="230" t="s">
        <v>444</v>
      </c>
      <c r="D34" s="144" t="s">
        <v>53</v>
      </c>
      <c r="E34" s="144" t="s">
        <v>632</v>
      </c>
      <c r="F34" s="154">
        <v>0</v>
      </c>
      <c r="G34" s="154">
        <v>0</v>
      </c>
      <c r="H34" s="154">
        <v>0</v>
      </c>
      <c r="I34" s="154">
        <v>0</v>
      </c>
      <c r="J34" s="154">
        <v>0</v>
      </c>
      <c r="K34" s="154">
        <v>0</v>
      </c>
      <c r="L34" s="267">
        <v>0</v>
      </c>
      <c r="M34" s="267">
        <v>6500000</v>
      </c>
      <c r="N34" s="279">
        <v>0</v>
      </c>
      <c r="O34" s="236"/>
      <c r="P34" s="146"/>
      <c r="Q34" s="153"/>
      <c r="R34" s="150"/>
      <c r="S34" s="150"/>
      <c r="T34" s="150"/>
      <c r="U34" s="153" t="s">
        <v>53</v>
      </c>
      <c r="V34" s="153" t="s">
        <v>303</v>
      </c>
      <c r="W34" s="153"/>
      <c r="X34" s="153"/>
      <c r="Y34" s="153"/>
      <c r="Z34" s="146" t="s">
        <v>387</v>
      </c>
      <c r="AA34" s="153"/>
      <c r="AB34" s="153"/>
      <c r="AC34" s="153"/>
      <c r="AD34" s="153"/>
    </row>
    <row r="35" spans="1:30">
      <c r="A35" s="142">
        <f t="shared" si="0"/>
        <v>34</v>
      </c>
      <c r="B35" s="230" t="s">
        <v>445</v>
      </c>
      <c r="C35" s="230" t="s">
        <v>445</v>
      </c>
      <c r="D35" s="144" t="s">
        <v>53</v>
      </c>
      <c r="E35" s="144" t="s">
        <v>632</v>
      </c>
      <c r="F35" s="154">
        <v>0</v>
      </c>
      <c r="G35" s="154">
        <v>0</v>
      </c>
      <c r="H35" s="154">
        <v>0</v>
      </c>
      <c r="I35" s="154">
        <v>0</v>
      </c>
      <c r="J35" s="154">
        <v>0</v>
      </c>
      <c r="K35" s="154">
        <v>0</v>
      </c>
      <c r="L35" s="267">
        <v>0</v>
      </c>
      <c r="M35" s="267">
        <v>2000000</v>
      </c>
      <c r="N35" s="279">
        <v>0</v>
      </c>
      <c r="O35" s="236"/>
      <c r="P35" s="146"/>
      <c r="Q35" s="153"/>
      <c r="R35" s="150"/>
      <c r="S35" s="150"/>
      <c r="T35" s="150"/>
      <c r="U35" s="153" t="s">
        <v>53</v>
      </c>
      <c r="V35" s="153" t="s">
        <v>303</v>
      </c>
      <c r="W35" s="153"/>
      <c r="X35" s="153"/>
      <c r="Y35" s="153"/>
      <c r="Z35" s="146" t="s">
        <v>387</v>
      </c>
      <c r="AA35" s="153"/>
      <c r="AB35" s="153"/>
      <c r="AC35" s="153"/>
      <c r="AD35" s="153"/>
    </row>
    <row r="36" spans="1:30">
      <c r="A36" s="142">
        <f t="shared" si="0"/>
        <v>35</v>
      </c>
      <c r="B36" s="230" t="s">
        <v>446</v>
      </c>
      <c r="C36" s="230" t="s">
        <v>446</v>
      </c>
      <c r="D36" s="144" t="s">
        <v>53</v>
      </c>
      <c r="E36" s="144" t="s">
        <v>632</v>
      </c>
      <c r="F36" s="154">
        <v>0</v>
      </c>
      <c r="G36" s="154">
        <v>0</v>
      </c>
      <c r="H36" s="154">
        <v>0</v>
      </c>
      <c r="I36" s="154">
        <v>0</v>
      </c>
      <c r="J36" s="154">
        <v>0</v>
      </c>
      <c r="K36" s="154">
        <v>0</v>
      </c>
      <c r="L36" s="267">
        <v>0</v>
      </c>
      <c r="M36" s="267">
        <v>200000</v>
      </c>
      <c r="N36" s="279">
        <v>0</v>
      </c>
      <c r="O36" s="236"/>
      <c r="P36" s="146"/>
      <c r="Q36" s="153"/>
      <c r="R36" s="150"/>
      <c r="S36" s="150"/>
      <c r="T36" s="150"/>
      <c r="U36" s="153" t="s">
        <v>53</v>
      </c>
      <c r="V36" s="153" t="s">
        <v>303</v>
      </c>
      <c r="W36" s="153"/>
      <c r="X36" s="153"/>
      <c r="Y36" s="153"/>
      <c r="Z36" s="146" t="s">
        <v>387</v>
      </c>
      <c r="AA36" s="153"/>
      <c r="AB36" s="153"/>
      <c r="AC36" s="153"/>
      <c r="AD36" s="153"/>
    </row>
    <row r="37" spans="1:30">
      <c r="A37" s="142">
        <f t="shared" si="0"/>
        <v>36</v>
      </c>
      <c r="B37" s="230" t="s">
        <v>447</v>
      </c>
      <c r="C37" s="230" t="s">
        <v>447</v>
      </c>
      <c r="D37" s="144" t="s">
        <v>53</v>
      </c>
      <c r="E37" s="144" t="s">
        <v>632</v>
      </c>
      <c r="F37" s="154">
        <v>0</v>
      </c>
      <c r="G37" s="154">
        <v>0</v>
      </c>
      <c r="H37" s="154">
        <v>0</v>
      </c>
      <c r="I37" s="154">
        <v>0</v>
      </c>
      <c r="J37" s="154">
        <v>0</v>
      </c>
      <c r="K37" s="154">
        <v>0</v>
      </c>
      <c r="L37" s="267">
        <v>0</v>
      </c>
      <c r="M37" s="267">
        <v>1500000</v>
      </c>
      <c r="N37" s="279">
        <v>0</v>
      </c>
      <c r="O37" s="236"/>
      <c r="P37" s="146"/>
      <c r="Q37" s="153"/>
      <c r="R37" s="150"/>
      <c r="S37" s="150"/>
      <c r="T37" s="150"/>
      <c r="U37" s="153" t="s">
        <v>53</v>
      </c>
      <c r="V37" s="153" t="s">
        <v>303</v>
      </c>
      <c r="W37" s="153"/>
      <c r="X37" s="153"/>
      <c r="Y37" s="153"/>
      <c r="Z37" s="146" t="s">
        <v>387</v>
      </c>
      <c r="AA37" s="153"/>
      <c r="AB37" s="153"/>
      <c r="AC37" s="153"/>
      <c r="AD37" s="153"/>
    </row>
    <row r="38" spans="1:30" ht="30">
      <c r="A38" s="142">
        <f t="shared" si="0"/>
        <v>37</v>
      </c>
      <c r="B38" s="230" t="s">
        <v>469</v>
      </c>
      <c r="C38" s="230" t="s">
        <v>469</v>
      </c>
      <c r="D38" s="144" t="s">
        <v>53</v>
      </c>
      <c r="E38" s="146" t="s">
        <v>341</v>
      </c>
      <c r="F38" s="154">
        <v>0</v>
      </c>
      <c r="G38" s="154">
        <v>0</v>
      </c>
      <c r="H38" s="154">
        <v>150000</v>
      </c>
      <c r="I38" s="154">
        <v>0</v>
      </c>
      <c r="J38" s="154">
        <v>0</v>
      </c>
      <c r="K38" s="154">
        <v>0</v>
      </c>
      <c r="L38" s="154">
        <v>250000</v>
      </c>
      <c r="M38" s="154">
        <v>250000</v>
      </c>
      <c r="N38" s="235">
        <v>0</v>
      </c>
      <c r="O38" s="236"/>
      <c r="P38" s="146"/>
      <c r="Q38" s="153"/>
      <c r="R38" s="150"/>
      <c r="S38" s="150"/>
      <c r="T38" s="150"/>
      <c r="U38" s="153" t="s">
        <v>53</v>
      </c>
      <c r="V38" s="153" t="s">
        <v>303</v>
      </c>
      <c r="W38" s="153"/>
      <c r="X38" s="153"/>
      <c r="Y38" s="153"/>
      <c r="Z38" s="153" t="s">
        <v>316</v>
      </c>
      <c r="AA38" s="153"/>
      <c r="AB38" s="153"/>
      <c r="AC38" s="153"/>
      <c r="AD38" s="153"/>
    </row>
    <row r="39" spans="1:30" ht="30">
      <c r="A39" s="142">
        <f t="shared" si="0"/>
        <v>38</v>
      </c>
      <c r="B39" s="230" t="s">
        <v>448</v>
      </c>
      <c r="C39" s="230" t="s">
        <v>448</v>
      </c>
      <c r="D39" s="144" t="s">
        <v>53</v>
      </c>
      <c r="E39" s="146" t="s">
        <v>634</v>
      </c>
      <c r="F39" s="154">
        <v>0</v>
      </c>
      <c r="G39" s="154">
        <v>0</v>
      </c>
      <c r="H39" s="154">
        <v>0</v>
      </c>
      <c r="I39" s="154">
        <v>0</v>
      </c>
      <c r="J39" s="154">
        <v>0</v>
      </c>
      <c r="K39" s="154">
        <v>0</v>
      </c>
      <c r="L39" s="154">
        <v>28300</v>
      </c>
      <c r="M39" s="154">
        <v>0</v>
      </c>
      <c r="N39" s="235">
        <v>0</v>
      </c>
      <c r="O39" s="236"/>
      <c r="P39" s="146"/>
      <c r="Q39" s="153"/>
      <c r="R39" s="150"/>
      <c r="S39" s="150"/>
      <c r="T39" s="150"/>
      <c r="U39" s="153" t="s">
        <v>53</v>
      </c>
      <c r="V39" s="153" t="s">
        <v>303</v>
      </c>
      <c r="W39" s="153"/>
      <c r="X39" s="153"/>
      <c r="Y39" s="153"/>
      <c r="Z39" s="146" t="s">
        <v>387</v>
      </c>
      <c r="AA39" s="153"/>
      <c r="AB39" s="153"/>
      <c r="AC39" s="153"/>
      <c r="AD39" s="153"/>
    </row>
    <row r="40" spans="1:30" ht="30">
      <c r="A40" s="142">
        <f t="shared" si="0"/>
        <v>39</v>
      </c>
      <c r="B40" s="230" t="s">
        <v>449</v>
      </c>
      <c r="C40" s="230" t="s">
        <v>449</v>
      </c>
      <c r="D40" s="144" t="s">
        <v>53</v>
      </c>
      <c r="E40" s="146" t="s">
        <v>634</v>
      </c>
      <c r="F40" s="154">
        <v>0</v>
      </c>
      <c r="G40" s="154">
        <v>0</v>
      </c>
      <c r="H40" s="154">
        <v>0</v>
      </c>
      <c r="I40" s="154">
        <v>0</v>
      </c>
      <c r="J40" s="154">
        <v>0</v>
      </c>
      <c r="K40" s="154">
        <v>0</v>
      </c>
      <c r="L40" s="154">
        <v>245000</v>
      </c>
      <c r="M40" s="154">
        <v>0</v>
      </c>
      <c r="N40" s="235">
        <v>0</v>
      </c>
      <c r="O40" s="236"/>
      <c r="P40" s="146"/>
      <c r="Q40" s="153"/>
      <c r="R40" s="150"/>
      <c r="S40" s="150"/>
      <c r="T40" s="150"/>
      <c r="U40" s="153" t="s">
        <v>53</v>
      </c>
      <c r="V40" s="153" t="s">
        <v>303</v>
      </c>
      <c r="W40" s="153"/>
      <c r="X40" s="153"/>
      <c r="Y40" s="153"/>
      <c r="Z40" s="146" t="s">
        <v>387</v>
      </c>
      <c r="AA40" s="153"/>
      <c r="AB40" s="153"/>
      <c r="AC40" s="153"/>
      <c r="AD40" s="153"/>
    </row>
    <row r="41" spans="1:30" ht="30">
      <c r="A41" s="142">
        <f t="shared" si="0"/>
        <v>40</v>
      </c>
      <c r="B41" s="230" t="s">
        <v>450</v>
      </c>
      <c r="C41" s="230" t="s">
        <v>450</v>
      </c>
      <c r="D41" s="144" t="s">
        <v>53</v>
      </c>
      <c r="E41" s="146" t="s">
        <v>634</v>
      </c>
      <c r="F41" s="154">
        <v>0</v>
      </c>
      <c r="G41" s="154">
        <v>0</v>
      </c>
      <c r="H41" s="154">
        <v>0</v>
      </c>
      <c r="I41" s="154">
        <v>0</v>
      </c>
      <c r="J41" s="154">
        <v>0</v>
      </c>
      <c r="K41" s="154">
        <v>0</v>
      </c>
      <c r="L41" s="154">
        <v>0</v>
      </c>
      <c r="M41" s="154">
        <v>200000</v>
      </c>
      <c r="N41" s="235">
        <v>0</v>
      </c>
      <c r="O41" s="236"/>
      <c r="P41" s="146"/>
      <c r="Q41" s="153"/>
      <c r="R41" s="150"/>
      <c r="S41" s="150"/>
      <c r="T41" s="150"/>
      <c r="U41" s="153" t="s">
        <v>53</v>
      </c>
      <c r="V41" s="153" t="s">
        <v>303</v>
      </c>
      <c r="W41" s="153"/>
      <c r="X41" s="153"/>
      <c r="Y41" s="153"/>
      <c r="Z41" s="146" t="s">
        <v>387</v>
      </c>
      <c r="AA41" s="153"/>
      <c r="AB41" s="153"/>
      <c r="AC41" s="153"/>
      <c r="AD41" s="153"/>
    </row>
    <row r="42" spans="1:30" ht="30">
      <c r="A42" s="142">
        <f t="shared" si="0"/>
        <v>41</v>
      </c>
      <c r="B42" s="230" t="s">
        <v>451</v>
      </c>
      <c r="C42" s="230" t="s">
        <v>451</v>
      </c>
      <c r="D42" s="144" t="s">
        <v>53</v>
      </c>
      <c r="E42" s="146" t="s">
        <v>634</v>
      </c>
      <c r="F42" s="154">
        <v>0</v>
      </c>
      <c r="G42" s="154">
        <v>0</v>
      </c>
      <c r="H42" s="154">
        <v>0</v>
      </c>
      <c r="I42" s="154">
        <v>0</v>
      </c>
      <c r="J42" s="154">
        <v>0</v>
      </c>
      <c r="K42" s="154">
        <v>0</v>
      </c>
      <c r="L42" s="154">
        <v>0</v>
      </c>
      <c r="M42" s="154">
        <v>0</v>
      </c>
      <c r="N42" s="235">
        <v>0</v>
      </c>
      <c r="O42" s="236"/>
      <c r="P42" s="146"/>
      <c r="Q42" s="153"/>
      <c r="R42" s="150"/>
      <c r="S42" s="150"/>
      <c r="T42" s="150"/>
      <c r="U42" s="153" t="s">
        <v>53</v>
      </c>
      <c r="V42" s="153" t="s">
        <v>303</v>
      </c>
      <c r="W42" s="153"/>
      <c r="X42" s="153"/>
      <c r="Y42" s="153"/>
      <c r="Z42" s="146" t="s">
        <v>387</v>
      </c>
      <c r="AA42" s="153"/>
      <c r="AB42" s="153"/>
      <c r="AC42" s="153"/>
      <c r="AD42" s="153"/>
    </row>
    <row r="43" spans="1:30" ht="30">
      <c r="A43" s="142">
        <f t="shared" si="0"/>
        <v>42</v>
      </c>
      <c r="B43" s="230" t="s">
        <v>452</v>
      </c>
      <c r="C43" s="230" t="s">
        <v>452</v>
      </c>
      <c r="D43" s="144" t="s">
        <v>53</v>
      </c>
      <c r="E43" s="146" t="s">
        <v>634</v>
      </c>
      <c r="F43" s="154">
        <v>0</v>
      </c>
      <c r="G43" s="154">
        <v>0</v>
      </c>
      <c r="H43" s="154">
        <v>0</v>
      </c>
      <c r="I43" s="154">
        <v>0</v>
      </c>
      <c r="J43" s="154">
        <v>0</v>
      </c>
      <c r="K43" s="154">
        <v>0</v>
      </c>
      <c r="L43" s="154">
        <v>0</v>
      </c>
      <c r="M43" s="154">
        <v>0</v>
      </c>
      <c r="N43" s="154">
        <v>195000</v>
      </c>
      <c r="O43" s="236"/>
      <c r="P43" s="146"/>
      <c r="Q43" s="153"/>
      <c r="R43" s="150"/>
      <c r="S43" s="150"/>
      <c r="T43" s="150"/>
      <c r="U43" s="153" t="s">
        <v>53</v>
      </c>
      <c r="V43" s="153" t="s">
        <v>303</v>
      </c>
      <c r="W43" s="153"/>
      <c r="X43" s="153"/>
      <c r="Y43" s="153"/>
      <c r="Z43" s="146" t="s">
        <v>387</v>
      </c>
      <c r="AA43" s="153"/>
      <c r="AB43" s="153"/>
      <c r="AC43" s="153"/>
      <c r="AD43" s="153"/>
    </row>
    <row r="44" spans="1:30" ht="30">
      <c r="A44" s="142">
        <f t="shared" si="0"/>
        <v>43</v>
      </c>
      <c r="B44" s="230" t="s">
        <v>453</v>
      </c>
      <c r="C44" s="230" t="s">
        <v>453</v>
      </c>
      <c r="D44" s="144" t="s">
        <v>53</v>
      </c>
      <c r="E44" s="146" t="s">
        <v>634</v>
      </c>
      <c r="F44" s="154">
        <v>0</v>
      </c>
      <c r="G44" s="154">
        <v>0</v>
      </c>
      <c r="H44" s="154">
        <v>0</v>
      </c>
      <c r="I44" s="154">
        <v>0</v>
      </c>
      <c r="J44" s="154">
        <v>0</v>
      </c>
      <c r="K44" s="154">
        <v>0</v>
      </c>
      <c r="L44" s="154">
        <v>35000</v>
      </c>
      <c r="M44" s="154">
        <v>0</v>
      </c>
      <c r="N44" s="235">
        <v>0</v>
      </c>
      <c r="O44" s="236"/>
      <c r="P44" s="146"/>
      <c r="Q44" s="153"/>
      <c r="R44" s="150"/>
      <c r="S44" s="150"/>
      <c r="T44" s="150"/>
      <c r="U44" s="153" t="s">
        <v>53</v>
      </c>
      <c r="V44" s="153" t="s">
        <v>303</v>
      </c>
      <c r="W44" s="153"/>
      <c r="X44" s="153"/>
      <c r="Y44" s="153"/>
      <c r="Z44" s="146" t="s">
        <v>387</v>
      </c>
      <c r="AA44" s="153"/>
      <c r="AB44" s="153"/>
      <c r="AC44" s="153"/>
      <c r="AD44" s="153"/>
    </row>
    <row r="45" spans="1:30" ht="30">
      <c r="A45" s="142">
        <f t="shared" si="0"/>
        <v>44</v>
      </c>
      <c r="B45" s="230" t="s">
        <v>454</v>
      </c>
      <c r="C45" s="230" t="s">
        <v>454</v>
      </c>
      <c r="D45" s="144" t="s">
        <v>53</v>
      </c>
      <c r="E45" s="146" t="s">
        <v>633</v>
      </c>
      <c r="F45" s="154">
        <v>0</v>
      </c>
      <c r="G45" s="154">
        <v>0</v>
      </c>
      <c r="H45" s="154">
        <v>0</v>
      </c>
      <c r="I45" s="154">
        <v>0</v>
      </c>
      <c r="J45" s="154">
        <v>0</v>
      </c>
      <c r="K45" s="278">
        <v>0</v>
      </c>
      <c r="L45" s="154">
        <v>155000</v>
      </c>
      <c r="M45" s="154">
        <v>0</v>
      </c>
      <c r="N45" s="235">
        <v>0</v>
      </c>
      <c r="O45" s="236"/>
      <c r="P45" s="146"/>
      <c r="Q45" s="153"/>
      <c r="R45" s="150"/>
      <c r="S45" s="150"/>
      <c r="T45" s="150"/>
      <c r="U45" s="153" t="s">
        <v>53</v>
      </c>
      <c r="V45" s="153" t="s">
        <v>303</v>
      </c>
      <c r="W45" s="153"/>
      <c r="X45" s="153"/>
      <c r="Y45" s="153"/>
      <c r="Z45" s="146" t="s">
        <v>387</v>
      </c>
      <c r="AA45" s="153"/>
      <c r="AB45" s="153"/>
      <c r="AC45" s="153"/>
      <c r="AD45" s="153"/>
    </row>
    <row r="46" spans="1:30" ht="30">
      <c r="A46" s="142">
        <f t="shared" si="0"/>
        <v>45</v>
      </c>
      <c r="B46" s="230" t="s">
        <v>455</v>
      </c>
      <c r="C46" s="230" t="s">
        <v>455</v>
      </c>
      <c r="D46" s="144" t="s">
        <v>53</v>
      </c>
      <c r="E46" s="146" t="s">
        <v>633</v>
      </c>
      <c r="F46" s="154">
        <v>0</v>
      </c>
      <c r="G46" s="154">
        <v>0</v>
      </c>
      <c r="H46" s="154">
        <v>0</v>
      </c>
      <c r="I46" s="154">
        <v>0</v>
      </c>
      <c r="J46" s="154">
        <v>0</v>
      </c>
      <c r="K46" s="154">
        <v>0</v>
      </c>
      <c r="L46" s="154">
        <v>0</v>
      </c>
      <c r="M46" s="154">
        <v>160000</v>
      </c>
      <c r="N46" s="235">
        <v>0</v>
      </c>
      <c r="O46" s="236"/>
      <c r="P46" s="146"/>
      <c r="Q46" s="153"/>
      <c r="R46" s="150"/>
      <c r="S46" s="150"/>
      <c r="T46" s="150"/>
      <c r="U46" s="153" t="s">
        <v>53</v>
      </c>
      <c r="V46" s="153" t="s">
        <v>303</v>
      </c>
      <c r="W46" s="153"/>
      <c r="X46" s="153"/>
      <c r="Y46" s="153"/>
      <c r="Z46" s="146" t="s">
        <v>387</v>
      </c>
      <c r="AA46" s="153"/>
      <c r="AB46" s="153"/>
      <c r="AC46" s="153"/>
      <c r="AD46" s="153"/>
    </row>
    <row r="47" spans="1:30" ht="30.75" thickBot="1">
      <c r="A47" s="142">
        <f t="shared" si="0"/>
        <v>46</v>
      </c>
      <c r="B47" s="230" t="s">
        <v>455</v>
      </c>
      <c r="C47" s="230" t="s">
        <v>455</v>
      </c>
      <c r="D47" s="144" t="s">
        <v>53</v>
      </c>
      <c r="E47" s="146" t="s">
        <v>633</v>
      </c>
      <c r="F47" s="154">
        <v>0</v>
      </c>
      <c r="G47" s="154">
        <v>0</v>
      </c>
      <c r="H47" s="154">
        <v>0</v>
      </c>
      <c r="I47" s="154">
        <v>0</v>
      </c>
      <c r="J47" s="154">
        <v>0</v>
      </c>
      <c r="K47" s="154">
        <v>0</v>
      </c>
      <c r="L47" s="154">
        <v>0</v>
      </c>
      <c r="M47" s="154">
        <v>0</v>
      </c>
      <c r="N47" s="154">
        <v>165000</v>
      </c>
      <c r="O47" s="236"/>
      <c r="P47" s="146"/>
      <c r="Q47" s="153"/>
      <c r="R47" s="150"/>
      <c r="S47" s="150"/>
      <c r="T47" s="150"/>
      <c r="U47" s="153" t="s">
        <v>53</v>
      </c>
      <c r="V47" s="153" t="s">
        <v>303</v>
      </c>
      <c r="W47" s="153"/>
      <c r="X47" s="153"/>
      <c r="Y47" s="153"/>
      <c r="Z47" s="146" t="s">
        <v>387</v>
      </c>
      <c r="AA47" s="153"/>
      <c r="AB47" s="153"/>
      <c r="AC47" s="153"/>
      <c r="AD47" s="153"/>
    </row>
    <row r="48" spans="1:30" ht="15.75" thickBot="1">
      <c r="A48" s="346" t="s">
        <v>310</v>
      </c>
      <c r="B48" s="347"/>
      <c r="C48" s="347"/>
      <c r="D48" s="347"/>
      <c r="E48" s="348"/>
      <c r="F48" s="244">
        <f>SUM(F2:F47)</f>
        <v>6165300</v>
      </c>
      <c r="G48" s="244">
        <f t="shared" ref="G48:T48" si="1">SUM(G2:G47)</f>
        <v>3076817.56</v>
      </c>
      <c r="H48" s="244">
        <f t="shared" si="1"/>
        <v>6185361</v>
      </c>
      <c r="I48" s="244">
        <f t="shared" si="1"/>
        <v>2209278.5499999998</v>
      </c>
      <c r="J48" s="244">
        <f t="shared" si="1"/>
        <v>3373764.3</v>
      </c>
      <c r="K48" s="244">
        <f t="shared" si="1"/>
        <v>10462878</v>
      </c>
      <c r="L48" s="244">
        <f t="shared" si="1"/>
        <v>60521300</v>
      </c>
      <c r="M48" s="244">
        <f t="shared" si="1"/>
        <v>13040000</v>
      </c>
      <c r="N48" s="244">
        <f t="shared" si="1"/>
        <v>2360000</v>
      </c>
      <c r="O48" s="281"/>
      <c r="P48" s="281"/>
      <c r="Q48" s="281"/>
      <c r="R48" s="244">
        <f t="shared" si="1"/>
        <v>4569326</v>
      </c>
      <c r="S48" s="244">
        <f t="shared" si="1"/>
        <v>962503</v>
      </c>
      <c r="T48" s="244">
        <f t="shared" si="1"/>
        <v>4569326</v>
      </c>
      <c r="U48" s="250"/>
      <c r="V48" s="250"/>
      <c r="W48" s="250"/>
      <c r="X48" s="250"/>
      <c r="Y48" s="250"/>
      <c r="Z48" s="250"/>
      <c r="AA48" s="250"/>
      <c r="AB48" s="250"/>
      <c r="AC48" s="250"/>
      <c r="AD48" s="251"/>
    </row>
    <row r="49" spans="9:14">
      <c r="K49" s="209"/>
      <c r="L49" s="209"/>
      <c r="M49" s="209"/>
      <c r="N49" s="209"/>
    </row>
    <row r="51" spans="9:14">
      <c r="I51" s="223"/>
    </row>
    <row r="53" spans="9:14">
      <c r="I53" s="223"/>
      <c r="J53" s="223"/>
      <c r="L53" s="209"/>
    </row>
    <row r="56" spans="9:14">
      <c r="J56" s="209"/>
    </row>
  </sheetData>
  <autoFilter ref="A1:AD49" xr:uid="{396E47FA-EBDB-420F-9569-E434E0E5221D}"/>
  <mergeCells count="1">
    <mergeCell ref="A48:E48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F5E60-4DAA-47F3-A777-83A32E15D588}">
  <sheetPr>
    <tabColor theme="6" tint="-0.249977111117893"/>
  </sheetPr>
  <dimension ref="A1:AD5"/>
  <sheetViews>
    <sheetView workbookViewId="0"/>
  </sheetViews>
  <sheetFormatPr defaultRowHeight="15"/>
  <cols>
    <col min="1" max="1" width="2" bestFit="1" customWidth="1"/>
    <col min="2" max="2" width="41.85546875" bestFit="1" customWidth="1"/>
    <col min="3" max="3" width="58.140625" bestFit="1" customWidth="1"/>
    <col min="4" max="4" width="22.5703125" bestFit="1" customWidth="1"/>
    <col min="5" max="5" width="12.5703125" customWidth="1"/>
    <col min="6" max="8" width="10" bestFit="1" customWidth="1"/>
    <col min="9" max="9" width="11.85546875" bestFit="1" customWidth="1"/>
    <col min="10" max="10" width="11.85546875" customWidth="1"/>
    <col min="11" max="11" width="10" bestFit="1" customWidth="1"/>
    <col min="12" max="14" width="7.28515625" bestFit="1" customWidth="1"/>
    <col min="15" max="15" width="59" bestFit="1" customWidth="1"/>
    <col min="16" max="16" width="12.42578125" customWidth="1"/>
    <col min="17" max="17" width="11.85546875" bestFit="1" customWidth="1"/>
    <col min="18" max="20" width="10" bestFit="1" customWidth="1"/>
    <col min="21" max="21" width="11.7109375" bestFit="1" customWidth="1"/>
    <col min="22" max="22" width="15.7109375" bestFit="1" customWidth="1"/>
    <col min="23" max="23" width="14.28515625" bestFit="1" customWidth="1"/>
    <col min="24" max="24" width="10.5703125" bestFit="1" customWidth="1"/>
    <col min="25" max="25" width="13.140625" bestFit="1" customWidth="1"/>
    <col min="26" max="26" width="8.140625" bestFit="1" customWidth="1"/>
    <col min="27" max="27" width="14.5703125" bestFit="1" customWidth="1"/>
    <col min="28" max="28" width="24.140625" bestFit="1" customWidth="1"/>
    <col min="29" max="29" width="19" bestFit="1" customWidth="1"/>
    <col min="30" max="30" width="27.85546875" bestFit="1" customWidth="1"/>
  </cols>
  <sheetData>
    <row r="1" spans="1:30" ht="44.25" customHeight="1" thickBot="1">
      <c r="A1" s="246" t="s">
        <v>0</v>
      </c>
      <c r="B1" s="246" t="s">
        <v>1</v>
      </c>
      <c r="C1" s="238" t="s">
        <v>2</v>
      </c>
      <c r="D1" s="246" t="s">
        <v>4</v>
      </c>
      <c r="E1" s="238" t="s">
        <v>336</v>
      </c>
      <c r="F1" s="240" t="s">
        <v>346</v>
      </c>
      <c r="G1" s="240" t="s">
        <v>347</v>
      </c>
      <c r="H1" s="240" t="s">
        <v>499</v>
      </c>
      <c r="I1" s="240" t="s">
        <v>494</v>
      </c>
      <c r="J1" s="240" t="s">
        <v>503</v>
      </c>
      <c r="K1" s="240" t="s">
        <v>500</v>
      </c>
      <c r="L1" s="240" t="s">
        <v>501</v>
      </c>
      <c r="M1" s="240" t="s">
        <v>502</v>
      </c>
      <c r="N1" s="240" t="s">
        <v>504</v>
      </c>
      <c r="O1" s="247" t="s">
        <v>5</v>
      </c>
      <c r="P1" s="238" t="s">
        <v>336</v>
      </c>
      <c r="Q1" s="247" t="s">
        <v>6</v>
      </c>
      <c r="R1" s="240" t="s">
        <v>356</v>
      </c>
      <c r="S1" s="240" t="s">
        <v>357</v>
      </c>
      <c r="T1" s="240" t="s">
        <v>358</v>
      </c>
      <c r="U1" s="246" t="s">
        <v>8</v>
      </c>
      <c r="V1" s="246" t="s">
        <v>9</v>
      </c>
      <c r="W1" s="246" t="s">
        <v>10</v>
      </c>
      <c r="X1" s="246" t="s">
        <v>11</v>
      </c>
      <c r="Y1" s="246" t="s">
        <v>12</v>
      </c>
      <c r="Z1" s="238" t="s">
        <v>13</v>
      </c>
      <c r="AA1" s="246" t="s">
        <v>14</v>
      </c>
      <c r="AB1" s="238" t="s">
        <v>15</v>
      </c>
      <c r="AC1" s="238" t="s">
        <v>16</v>
      </c>
      <c r="AD1" s="238" t="s">
        <v>17</v>
      </c>
    </row>
    <row r="2" spans="1:30">
      <c r="A2" s="142">
        <v>1</v>
      </c>
      <c r="B2" s="230" t="s">
        <v>394</v>
      </c>
      <c r="C2" s="230" t="s">
        <v>394</v>
      </c>
      <c r="D2" s="144" t="s">
        <v>335</v>
      </c>
      <c r="E2" s="146" t="s">
        <v>342</v>
      </c>
      <c r="F2" s="150">
        <v>950000</v>
      </c>
      <c r="G2" s="150">
        <v>881136.89</v>
      </c>
      <c r="H2" s="154">
        <v>0</v>
      </c>
      <c r="I2" s="154">
        <v>184245.19</v>
      </c>
      <c r="J2" s="154">
        <v>184245.19</v>
      </c>
      <c r="K2" s="154">
        <v>0</v>
      </c>
      <c r="L2" s="154">
        <v>0</v>
      </c>
      <c r="M2" s="154">
        <v>0</v>
      </c>
      <c r="N2" s="154">
        <v>0</v>
      </c>
      <c r="O2" s="236" t="s">
        <v>353</v>
      </c>
      <c r="P2" s="146" t="s">
        <v>355</v>
      </c>
      <c r="Q2" s="153"/>
      <c r="R2" s="150">
        <v>147462</v>
      </c>
      <c r="S2" s="150">
        <v>147462</v>
      </c>
      <c r="T2" s="150">
        <v>147462</v>
      </c>
      <c r="U2" s="153" t="s">
        <v>53</v>
      </c>
      <c r="V2" s="153" t="s">
        <v>303</v>
      </c>
      <c r="W2" s="153"/>
      <c r="X2" s="153"/>
      <c r="Y2" s="153"/>
      <c r="Z2" s="153" t="s">
        <v>316</v>
      </c>
      <c r="AA2" s="153"/>
      <c r="AB2" s="153"/>
      <c r="AC2" s="153"/>
      <c r="AD2" s="153" t="s">
        <v>365</v>
      </c>
    </row>
    <row r="3" spans="1:30">
      <c r="A3" s="142">
        <f>A2+1</f>
        <v>2</v>
      </c>
      <c r="B3" s="144" t="s">
        <v>315</v>
      </c>
      <c r="C3" s="145" t="s">
        <v>315</v>
      </c>
      <c r="D3" s="144" t="s">
        <v>334</v>
      </c>
      <c r="E3" s="146" t="s">
        <v>642</v>
      </c>
      <c r="F3" s="147">
        <v>0</v>
      </c>
      <c r="G3" s="147">
        <v>0</v>
      </c>
      <c r="H3" s="147">
        <v>0</v>
      </c>
      <c r="I3" s="147">
        <v>0</v>
      </c>
      <c r="J3" s="147">
        <v>0</v>
      </c>
      <c r="K3" s="147">
        <v>406500</v>
      </c>
      <c r="L3" s="154">
        <v>0</v>
      </c>
      <c r="M3" s="154">
        <v>0</v>
      </c>
      <c r="N3" s="154">
        <v>0</v>
      </c>
      <c r="O3" s="144" t="s">
        <v>352</v>
      </c>
      <c r="P3" s="146" t="s">
        <v>643</v>
      </c>
      <c r="Q3" s="144"/>
      <c r="R3" s="258">
        <v>174623</v>
      </c>
      <c r="S3" s="150">
        <v>0</v>
      </c>
      <c r="T3" s="259">
        <v>174623</v>
      </c>
      <c r="U3" s="153" t="s">
        <v>53</v>
      </c>
      <c r="V3" s="153" t="s">
        <v>303</v>
      </c>
      <c r="W3" s="145"/>
      <c r="X3" s="144"/>
      <c r="Y3" s="144"/>
      <c r="Z3" s="153" t="s">
        <v>316</v>
      </c>
      <c r="AA3" s="144"/>
      <c r="AB3" s="144"/>
      <c r="AC3" s="144"/>
      <c r="AD3" s="230"/>
    </row>
    <row r="4" spans="1:30" ht="15.75" thickBot="1">
      <c r="A4" s="142">
        <f>A3+1</f>
        <v>3</v>
      </c>
      <c r="B4" s="144" t="s">
        <v>395</v>
      </c>
      <c r="C4" s="144" t="s">
        <v>396</v>
      </c>
      <c r="D4" s="144" t="s">
        <v>335</v>
      </c>
      <c r="E4" s="146" t="s">
        <v>642</v>
      </c>
      <c r="F4" s="147">
        <v>0</v>
      </c>
      <c r="G4" s="147">
        <v>0</v>
      </c>
      <c r="H4" s="147">
        <v>500000</v>
      </c>
      <c r="I4" s="147">
        <v>0</v>
      </c>
      <c r="J4" s="147">
        <v>465930.64</v>
      </c>
      <c r="K4" s="154">
        <v>0</v>
      </c>
      <c r="L4" s="154">
        <v>0</v>
      </c>
      <c r="M4" s="154">
        <v>0</v>
      </c>
      <c r="N4" s="154">
        <v>0</v>
      </c>
      <c r="O4" s="144"/>
      <c r="P4" s="144"/>
      <c r="Q4" s="144"/>
      <c r="R4" s="258">
        <v>0</v>
      </c>
      <c r="S4" s="150">
        <v>0</v>
      </c>
      <c r="T4" s="259">
        <v>0</v>
      </c>
      <c r="U4" s="153" t="s">
        <v>53</v>
      </c>
      <c r="V4" s="153" t="s">
        <v>303</v>
      </c>
      <c r="W4" s="145"/>
      <c r="X4" s="144"/>
      <c r="Y4" s="144"/>
      <c r="Z4" s="153" t="s">
        <v>316</v>
      </c>
      <c r="AA4" s="144"/>
      <c r="AB4" s="144"/>
      <c r="AC4" s="144"/>
      <c r="AD4" s="144"/>
    </row>
    <row r="5" spans="1:30" ht="15.75" thickBot="1">
      <c r="A5" s="346" t="s">
        <v>310</v>
      </c>
      <c r="B5" s="347"/>
      <c r="C5" s="347"/>
      <c r="D5" s="347"/>
      <c r="E5" s="348"/>
      <c r="F5" s="244">
        <f>SUM(F2:F4)</f>
        <v>950000</v>
      </c>
      <c r="G5" s="244">
        <f t="shared" ref="G5:N5" si="0">SUM(G2:G4)</f>
        <v>881136.89</v>
      </c>
      <c r="H5" s="244">
        <f t="shared" si="0"/>
        <v>500000</v>
      </c>
      <c r="I5" s="244">
        <f t="shared" si="0"/>
        <v>184245.19</v>
      </c>
      <c r="J5" s="244">
        <f t="shared" si="0"/>
        <v>650175.83000000007</v>
      </c>
      <c r="K5" s="244">
        <f t="shared" si="0"/>
        <v>406500</v>
      </c>
      <c r="L5" s="244">
        <f t="shared" si="0"/>
        <v>0</v>
      </c>
      <c r="M5" s="244">
        <f t="shared" si="0"/>
        <v>0</v>
      </c>
      <c r="N5" s="244">
        <f t="shared" si="0"/>
        <v>0</v>
      </c>
      <c r="O5" s="250"/>
      <c r="P5" s="250"/>
      <c r="Q5" s="250"/>
      <c r="R5" s="244">
        <f>SUM(R2:R4)</f>
        <v>322085</v>
      </c>
      <c r="S5" s="244">
        <f>SUM(S2:S4)</f>
        <v>147462</v>
      </c>
      <c r="T5" s="244">
        <f>SUM(T2:T4)</f>
        <v>322085</v>
      </c>
      <c r="U5" s="250"/>
      <c r="V5" s="250"/>
      <c r="W5" s="250"/>
      <c r="X5" s="250"/>
      <c r="Y5" s="250"/>
      <c r="Z5" s="250"/>
      <c r="AA5" s="250"/>
      <c r="AB5" s="250"/>
      <c r="AC5" s="250"/>
      <c r="AD5" s="252"/>
    </row>
  </sheetData>
  <mergeCells count="1">
    <mergeCell ref="A5:E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B31C4-D737-4E30-8E5F-FFFCD1BBF057}">
  <sheetPr>
    <tabColor rgb="FFC00000"/>
  </sheetPr>
  <dimension ref="A1:N17"/>
  <sheetViews>
    <sheetView workbookViewId="0"/>
  </sheetViews>
  <sheetFormatPr defaultRowHeight="15"/>
  <cols>
    <col min="2" max="2" width="42.42578125" bestFit="1" customWidth="1"/>
    <col min="3" max="3" width="74.140625" bestFit="1" customWidth="1"/>
    <col min="4" max="4" width="15.7109375" bestFit="1" customWidth="1"/>
    <col min="5" max="5" width="13.28515625" customWidth="1"/>
    <col min="6" max="9" width="9" bestFit="1" customWidth="1"/>
    <col min="10" max="10" width="10.140625" bestFit="1" customWidth="1"/>
    <col min="11" max="14" width="9" bestFit="1" customWidth="1"/>
  </cols>
  <sheetData>
    <row r="1" spans="1:14" ht="30.75" thickBot="1">
      <c r="A1" s="246" t="s">
        <v>0</v>
      </c>
      <c r="B1" s="246" t="s">
        <v>644</v>
      </c>
      <c r="C1" s="238" t="s">
        <v>645</v>
      </c>
      <c r="D1" s="246" t="s">
        <v>4</v>
      </c>
      <c r="E1" s="238" t="s">
        <v>336</v>
      </c>
      <c r="F1" s="240" t="s">
        <v>346</v>
      </c>
      <c r="G1" s="240" t="s">
        <v>347</v>
      </c>
      <c r="H1" s="240" t="s">
        <v>499</v>
      </c>
      <c r="I1" s="240" t="s">
        <v>494</v>
      </c>
      <c r="J1" s="240" t="s">
        <v>503</v>
      </c>
      <c r="K1" s="240" t="s">
        <v>500</v>
      </c>
      <c r="L1" s="240" t="s">
        <v>501</v>
      </c>
      <c r="M1" s="240" t="s">
        <v>502</v>
      </c>
      <c r="N1" s="240" t="s">
        <v>504</v>
      </c>
    </row>
    <row r="2" spans="1:14">
      <c r="A2" s="233">
        <v>1</v>
      </c>
      <c r="B2" s="230" t="s">
        <v>605</v>
      </c>
      <c r="C2" s="230" t="s">
        <v>606</v>
      </c>
      <c r="D2" s="230" t="s">
        <v>290</v>
      </c>
      <c r="E2" s="239" t="s">
        <v>340</v>
      </c>
      <c r="F2" s="241">
        <v>9800</v>
      </c>
      <c r="G2" s="241">
        <v>14279.31</v>
      </c>
      <c r="H2" s="235">
        <v>19037.96</v>
      </c>
      <c r="I2" s="235">
        <v>14279.310000000001</v>
      </c>
      <c r="J2" s="235">
        <v>19037.96</v>
      </c>
      <c r="K2" s="235">
        <v>19037.96</v>
      </c>
      <c r="L2" s="235">
        <v>19037.96</v>
      </c>
      <c r="M2" s="235">
        <v>9518.9200000000019</v>
      </c>
      <c r="N2" s="235">
        <v>0</v>
      </c>
    </row>
    <row r="3" spans="1:14">
      <c r="A3" s="153">
        <f>A2+1</f>
        <v>2</v>
      </c>
      <c r="B3" s="230" t="s">
        <v>607</v>
      </c>
      <c r="C3" s="230" t="s">
        <v>608</v>
      </c>
      <c r="D3" s="144" t="s">
        <v>290</v>
      </c>
      <c r="E3" s="146" t="s">
        <v>340</v>
      </c>
      <c r="F3" s="150">
        <v>15600</v>
      </c>
      <c r="G3" s="150">
        <v>27190.19</v>
      </c>
      <c r="H3" s="154">
        <v>27134.52</v>
      </c>
      <c r="I3" s="154">
        <v>13595.1</v>
      </c>
      <c r="J3" s="154">
        <v>27134.52</v>
      </c>
      <c r="K3" s="154">
        <v>27134.52</v>
      </c>
      <c r="L3" s="154">
        <v>27134.52</v>
      </c>
      <c r="M3" s="154">
        <v>27134.52</v>
      </c>
      <c r="N3" s="154">
        <v>0</v>
      </c>
    </row>
    <row r="4" spans="1:14">
      <c r="A4" s="153">
        <f t="shared" ref="A4:A17" si="0">A3+1</f>
        <v>3</v>
      </c>
      <c r="B4" s="230" t="s">
        <v>609</v>
      </c>
      <c r="C4" s="230" t="s">
        <v>610</v>
      </c>
      <c r="D4" s="144" t="s">
        <v>290</v>
      </c>
      <c r="E4" s="146" t="s">
        <v>340</v>
      </c>
      <c r="F4" s="150">
        <v>9800</v>
      </c>
      <c r="G4" s="150">
        <v>17661</v>
      </c>
      <c r="H4" s="154">
        <v>23549.119999999999</v>
      </c>
      <c r="I4" s="154">
        <v>17661</v>
      </c>
      <c r="J4" s="154">
        <v>23549.119999999999</v>
      </c>
      <c r="K4" s="154">
        <v>23549.119999999999</v>
      </c>
      <c r="L4" s="154">
        <v>23549.119999999999</v>
      </c>
      <c r="M4" s="154">
        <v>11774.62</v>
      </c>
      <c r="N4" s="154">
        <v>0</v>
      </c>
    </row>
    <row r="5" spans="1:14">
      <c r="A5" s="153">
        <f t="shared" si="0"/>
        <v>4</v>
      </c>
      <c r="B5" s="230" t="s">
        <v>311</v>
      </c>
      <c r="C5" s="230" t="s">
        <v>311</v>
      </c>
      <c r="D5" s="144" t="s">
        <v>290</v>
      </c>
      <c r="E5" s="146" t="s">
        <v>340</v>
      </c>
      <c r="F5" s="150">
        <v>13000</v>
      </c>
      <c r="G5" s="150">
        <v>9867.0400000000009</v>
      </c>
      <c r="H5" s="154">
        <v>0</v>
      </c>
      <c r="I5" s="154">
        <v>0</v>
      </c>
      <c r="J5" s="154">
        <v>0</v>
      </c>
      <c r="K5" s="154">
        <v>0</v>
      </c>
      <c r="L5" s="154">
        <v>0</v>
      </c>
      <c r="M5" s="154">
        <v>0</v>
      </c>
      <c r="N5" s="154">
        <v>0</v>
      </c>
    </row>
    <row r="6" spans="1:14">
      <c r="A6" s="153">
        <f t="shared" si="0"/>
        <v>5</v>
      </c>
      <c r="B6" s="230" t="s">
        <v>312</v>
      </c>
      <c r="C6" s="230" t="s">
        <v>312</v>
      </c>
      <c r="D6" s="144" t="s">
        <v>290</v>
      </c>
      <c r="E6" s="146" t="s">
        <v>340</v>
      </c>
      <c r="F6" s="150">
        <v>25000</v>
      </c>
      <c r="G6" s="150">
        <v>14529.25</v>
      </c>
      <c r="H6" s="154">
        <v>0</v>
      </c>
      <c r="I6" s="154">
        <v>0</v>
      </c>
      <c r="J6" s="154">
        <v>0</v>
      </c>
      <c r="K6" s="154">
        <v>0</v>
      </c>
      <c r="L6" s="154">
        <v>0</v>
      </c>
      <c r="M6" s="154">
        <v>0</v>
      </c>
      <c r="N6" s="154">
        <v>0</v>
      </c>
    </row>
    <row r="7" spans="1:14">
      <c r="A7" s="153">
        <f t="shared" si="0"/>
        <v>6</v>
      </c>
      <c r="B7" s="230" t="s">
        <v>490</v>
      </c>
      <c r="C7" s="230" t="s">
        <v>490</v>
      </c>
      <c r="D7" s="144" t="s">
        <v>290</v>
      </c>
      <c r="E7" s="146" t="s">
        <v>340</v>
      </c>
      <c r="F7" s="150">
        <v>0</v>
      </c>
      <c r="G7" s="150">
        <v>11100</v>
      </c>
      <c r="H7" s="154">
        <v>0</v>
      </c>
      <c r="I7" s="154">
        <v>0</v>
      </c>
      <c r="J7" s="154">
        <v>0</v>
      </c>
      <c r="K7" s="154">
        <v>0</v>
      </c>
      <c r="L7" s="154">
        <v>0</v>
      </c>
      <c r="M7" s="154">
        <v>0</v>
      </c>
      <c r="N7" s="154">
        <v>0</v>
      </c>
    </row>
    <row r="8" spans="1:14">
      <c r="A8" s="153">
        <f t="shared" si="0"/>
        <v>7</v>
      </c>
      <c r="B8" s="230" t="s">
        <v>612</v>
      </c>
      <c r="C8" s="230" t="s">
        <v>613</v>
      </c>
      <c r="D8" s="144" t="s">
        <v>290</v>
      </c>
      <c r="E8" s="146" t="s">
        <v>340</v>
      </c>
      <c r="F8" s="150">
        <v>0</v>
      </c>
      <c r="G8" s="150">
        <v>0</v>
      </c>
      <c r="H8" s="154">
        <v>22500</v>
      </c>
      <c r="I8" s="154">
        <v>0</v>
      </c>
      <c r="J8" s="154">
        <v>20072</v>
      </c>
      <c r="K8" s="154">
        <v>26762</v>
      </c>
      <c r="L8" s="154">
        <v>26762</v>
      </c>
      <c r="M8" s="154">
        <v>26762</v>
      </c>
      <c r="N8" s="154">
        <v>26762</v>
      </c>
    </row>
    <row r="9" spans="1:14">
      <c r="A9" s="153">
        <f t="shared" si="0"/>
        <v>8</v>
      </c>
      <c r="B9" s="230" t="s">
        <v>404</v>
      </c>
      <c r="C9" s="230" t="s">
        <v>405</v>
      </c>
      <c r="D9" s="144" t="s">
        <v>53</v>
      </c>
      <c r="E9" s="146" t="s">
        <v>345</v>
      </c>
      <c r="F9" s="150">
        <v>12300</v>
      </c>
      <c r="G9" s="150">
        <v>22181.469999999998</v>
      </c>
      <c r="H9" s="154">
        <v>16400</v>
      </c>
      <c r="I9" s="154">
        <v>11090.72</v>
      </c>
      <c r="J9" s="154">
        <v>16400</v>
      </c>
      <c r="K9" s="154">
        <v>16400</v>
      </c>
      <c r="L9" s="154">
        <v>16400</v>
      </c>
      <c r="M9" s="154">
        <v>16400</v>
      </c>
      <c r="N9" s="154">
        <v>0</v>
      </c>
    </row>
    <row r="10" spans="1:14">
      <c r="A10" s="153">
        <f t="shared" si="0"/>
        <v>9</v>
      </c>
      <c r="B10" s="230" t="s">
        <v>406</v>
      </c>
      <c r="C10" s="230" t="s">
        <v>407</v>
      </c>
      <c r="D10" s="144" t="s">
        <v>53</v>
      </c>
      <c r="E10" s="146" t="s">
        <v>345</v>
      </c>
      <c r="F10" s="150">
        <v>23017</v>
      </c>
      <c r="G10" s="150">
        <v>22181.469999999998</v>
      </c>
      <c r="H10" s="154">
        <v>30689</v>
      </c>
      <c r="I10" s="154">
        <v>11090.74</v>
      </c>
      <c r="J10" s="154">
        <v>30689</v>
      </c>
      <c r="K10" s="154">
        <v>30689</v>
      </c>
      <c r="L10" s="154">
        <v>30689</v>
      </c>
      <c r="M10" s="154">
        <v>30689</v>
      </c>
      <c r="N10" s="154">
        <v>0</v>
      </c>
    </row>
    <row r="11" spans="1:14">
      <c r="A11" s="153">
        <f t="shared" si="0"/>
        <v>10</v>
      </c>
      <c r="B11" s="230" t="s">
        <v>324</v>
      </c>
      <c r="C11" s="230" t="s">
        <v>408</v>
      </c>
      <c r="D11" s="144" t="s">
        <v>53</v>
      </c>
      <c r="E11" s="146" t="s">
        <v>345</v>
      </c>
      <c r="F11" s="150">
        <v>15536.09</v>
      </c>
      <c r="G11" s="150">
        <v>13307.05</v>
      </c>
      <c r="H11" s="154">
        <v>0</v>
      </c>
      <c r="I11" s="154">
        <v>0</v>
      </c>
      <c r="J11" s="154">
        <v>0</v>
      </c>
      <c r="K11" s="154">
        <v>0</v>
      </c>
      <c r="L11" s="154">
        <v>0</v>
      </c>
      <c r="M11" s="154">
        <v>0</v>
      </c>
      <c r="N11" s="154">
        <v>0</v>
      </c>
    </row>
    <row r="12" spans="1:14">
      <c r="A12" s="153">
        <f t="shared" si="0"/>
        <v>11</v>
      </c>
      <c r="B12" s="230" t="s">
        <v>325</v>
      </c>
      <c r="C12" s="230" t="s">
        <v>409</v>
      </c>
      <c r="D12" s="144" t="s">
        <v>53</v>
      </c>
      <c r="E12" s="146" t="s">
        <v>345</v>
      </c>
      <c r="F12" s="150">
        <v>52790.84</v>
      </c>
      <c r="G12" s="150">
        <v>52790.84</v>
      </c>
      <c r="H12" s="154">
        <v>52790.84</v>
      </c>
      <c r="I12" s="154">
        <v>39593.129999999997</v>
      </c>
      <c r="J12" s="154">
        <v>52790.84</v>
      </c>
      <c r="K12" s="154">
        <v>52790.84</v>
      </c>
      <c r="L12" s="154">
        <v>39593.129999999997</v>
      </c>
      <c r="M12" s="154">
        <v>0</v>
      </c>
      <c r="N12" s="154">
        <v>0</v>
      </c>
    </row>
    <row r="13" spans="1:14">
      <c r="A13" s="153">
        <f t="shared" si="0"/>
        <v>12</v>
      </c>
      <c r="B13" s="230" t="s">
        <v>326</v>
      </c>
      <c r="C13" s="230" t="s">
        <v>410</v>
      </c>
      <c r="D13" s="144" t="s">
        <v>53</v>
      </c>
      <c r="E13" s="146" t="s">
        <v>345</v>
      </c>
      <c r="F13" s="150">
        <v>26451.82</v>
      </c>
      <c r="G13" s="150">
        <v>26451.82</v>
      </c>
      <c r="H13" s="154">
        <v>26451.82</v>
      </c>
      <c r="I13" s="154">
        <v>26451.82</v>
      </c>
      <c r="J13" s="154">
        <v>26451.82</v>
      </c>
      <c r="K13" s="154">
        <v>26451.82</v>
      </c>
      <c r="L13" s="154">
        <v>13226</v>
      </c>
      <c r="M13" s="154">
        <v>0</v>
      </c>
      <c r="N13" s="154">
        <v>0</v>
      </c>
    </row>
    <row r="14" spans="1:14">
      <c r="A14" s="153">
        <f t="shared" si="0"/>
        <v>13</v>
      </c>
      <c r="B14" s="230" t="s">
        <v>420</v>
      </c>
      <c r="C14" s="230" t="s">
        <v>421</v>
      </c>
      <c r="D14" s="144" t="s">
        <v>53</v>
      </c>
      <c r="E14" s="146" t="s">
        <v>345</v>
      </c>
      <c r="F14" s="150">
        <v>0</v>
      </c>
      <c r="G14" s="150">
        <v>0</v>
      </c>
      <c r="H14" s="154">
        <v>14700</v>
      </c>
      <c r="I14" s="154">
        <v>0</v>
      </c>
      <c r="J14" s="154">
        <v>14700</v>
      </c>
      <c r="K14" s="154">
        <v>19600</v>
      </c>
      <c r="L14" s="154">
        <v>19600</v>
      </c>
      <c r="M14" s="154">
        <v>19600</v>
      </c>
      <c r="N14" s="154">
        <v>0</v>
      </c>
    </row>
    <row r="15" spans="1:14">
      <c r="A15" s="153">
        <f t="shared" si="0"/>
        <v>14</v>
      </c>
      <c r="B15" s="230" t="s">
        <v>422</v>
      </c>
      <c r="C15" s="230" t="s">
        <v>423</v>
      </c>
      <c r="D15" s="144" t="s">
        <v>53</v>
      </c>
      <c r="E15" s="146" t="s">
        <v>345</v>
      </c>
      <c r="F15" s="150">
        <v>0</v>
      </c>
      <c r="G15" s="150">
        <v>0</v>
      </c>
      <c r="H15" s="154">
        <v>12900</v>
      </c>
      <c r="I15" s="154">
        <v>0</v>
      </c>
      <c r="J15" s="154">
        <v>12900</v>
      </c>
      <c r="K15" s="154">
        <v>17200</v>
      </c>
      <c r="L15" s="154">
        <v>17200</v>
      </c>
      <c r="M15" s="154">
        <v>17200</v>
      </c>
      <c r="N15" s="154">
        <v>0</v>
      </c>
    </row>
    <row r="16" spans="1:14">
      <c r="A16" s="153">
        <f t="shared" si="0"/>
        <v>15</v>
      </c>
      <c r="B16" s="230" t="s">
        <v>424</v>
      </c>
      <c r="C16" s="230" t="s">
        <v>425</v>
      </c>
      <c r="D16" s="144" t="s">
        <v>53</v>
      </c>
      <c r="E16" s="146" t="s">
        <v>345</v>
      </c>
      <c r="F16" s="150">
        <v>0</v>
      </c>
      <c r="G16" s="150">
        <v>0</v>
      </c>
      <c r="H16" s="154">
        <v>0</v>
      </c>
      <c r="I16" s="154">
        <v>0</v>
      </c>
      <c r="J16" s="154">
        <v>0</v>
      </c>
      <c r="K16" s="154">
        <v>51810</v>
      </c>
      <c r="L16" s="154">
        <v>69080</v>
      </c>
      <c r="M16" s="154">
        <v>69080</v>
      </c>
      <c r="N16" s="154">
        <v>69080</v>
      </c>
    </row>
    <row r="17" spans="1:14">
      <c r="A17" s="153">
        <f t="shared" si="0"/>
        <v>16</v>
      </c>
      <c r="B17" s="230" t="s">
        <v>427</v>
      </c>
      <c r="C17" s="230" t="s">
        <v>428</v>
      </c>
      <c r="D17" s="144" t="s">
        <v>53</v>
      </c>
      <c r="E17" s="146" t="s">
        <v>345</v>
      </c>
      <c r="F17" s="150">
        <v>0</v>
      </c>
      <c r="G17" s="150">
        <v>0</v>
      </c>
      <c r="H17" s="154">
        <v>0</v>
      </c>
      <c r="I17" s="154">
        <v>0</v>
      </c>
      <c r="J17" s="154">
        <v>0</v>
      </c>
      <c r="K17" s="154">
        <v>0</v>
      </c>
      <c r="L17" s="154">
        <v>0</v>
      </c>
      <c r="M17" s="154">
        <v>0</v>
      </c>
      <c r="N17" s="154">
        <v>95000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9DC4C-7808-40DA-A468-F70CB5341601}">
  <sheetPr>
    <tabColor theme="9"/>
  </sheetPr>
  <dimension ref="A1:B1"/>
  <sheetViews>
    <sheetView workbookViewId="0"/>
  </sheetViews>
  <sheetFormatPr defaultRowHeight="15"/>
  <cols>
    <col min="1" max="1" width="28.42578125" bestFit="1" customWidth="1"/>
  </cols>
  <sheetData>
    <row r="1" spans="1:2">
      <c r="A1" t="s">
        <v>359</v>
      </c>
      <c r="B1" s="243">
        <v>45000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9B6CB-64D3-426B-BA69-6BA576D20D1E}">
  <sheetPr>
    <tabColor rgb="FF00B050"/>
  </sheetPr>
  <dimension ref="A1:W23"/>
  <sheetViews>
    <sheetView workbookViewId="0"/>
  </sheetViews>
  <sheetFormatPr defaultColWidth="9.140625" defaultRowHeight="15"/>
  <cols>
    <col min="1" max="1" width="4.42578125" style="153" customWidth="1"/>
    <col min="2" max="2" width="34.28515625" style="153" bestFit="1" customWidth="1"/>
    <col min="3" max="3" width="36.28515625" style="158" bestFit="1" customWidth="1"/>
    <col min="4" max="4" width="10.5703125" style="153" customWidth="1"/>
    <col min="5" max="5" width="20.42578125" style="153" bestFit="1" customWidth="1"/>
    <col min="6" max="10" width="13.42578125" style="153" customWidth="1"/>
    <col min="11" max="11" width="24.28515625" style="153" bestFit="1" customWidth="1"/>
    <col min="12" max="12" width="11.85546875" style="153" bestFit="1" customWidth="1"/>
    <col min="13" max="13" width="11.5703125" style="153" bestFit="1" customWidth="1"/>
    <col min="14" max="14" width="11.7109375" style="153" bestFit="1" customWidth="1"/>
    <col min="15" max="15" width="15.7109375" style="153" bestFit="1" customWidth="1"/>
    <col min="16" max="16" width="14.28515625" style="153" bestFit="1" customWidth="1"/>
    <col min="17" max="17" width="10.5703125" style="153" customWidth="1"/>
    <col min="18" max="18" width="13.140625" style="153" bestFit="1" customWidth="1"/>
    <col min="19" max="19" width="10.5703125" style="153" customWidth="1"/>
    <col min="20" max="20" width="14.5703125" style="153" bestFit="1" customWidth="1"/>
    <col min="21" max="21" width="27.42578125" style="153" customWidth="1"/>
    <col min="22" max="22" width="23.85546875" style="153" customWidth="1"/>
    <col min="23" max="23" width="10.5703125" style="153" customWidth="1"/>
    <col min="24" max="16384" width="9.140625" style="153"/>
  </cols>
  <sheetData>
    <row r="1" spans="1:23" s="142" customFormat="1" ht="45">
      <c r="A1" s="142" t="s">
        <v>0</v>
      </c>
      <c r="B1" s="142" t="s">
        <v>1</v>
      </c>
      <c r="C1" s="143" t="s">
        <v>2</v>
      </c>
      <c r="D1" s="143" t="s">
        <v>3</v>
      </c>
      <c r="E1" s="142" t="s">
        <v>4</v>
      </c>
      <c r="F1" s="201">
        <v>2025</v>
      </c>
      <c r="G1" s="201">
        <v>2026</v>
      </c>
      <c r="H1" s="201">
        <v>2027</v>
      </c>
      <c r="I1" s="201">
        <v>2028</v>
      </c>
      <c r="J1" s="201">
        <v>2029</v>
      </c>
      <c r="K1" s="201" t="s">
        <v>5</v>
      </c>
      <c r="L1" s="201" t="s">
        <v>6</v>
      </c>
      <c r="M1" s="157" t="s">
        <v>7</v>
      </c>
      <c r="N1" s="142" t="s">
        <v>8</v>
      </c>
      <c r="O1" s="142" t="s">
        <v>9</v>
      </c>
      <c r="P1" s="142" t="s">
        <v>48</v>
      </c>
      <c r="Q1" s="142" t="s">
        <v>11</v>
      </c>
      <c r="R1" s="142" t="s">
        <v>12</v>
      </c>
      <c r="S1" s="143" t="s">
        <v>13</v>
      </c>
      <c r="T1" s="142" t="s">
        <v>14</v>
      </c>
      <c r="U1" s="143" t="s">
        <v>15</v>
      </c>
      <c r="V1" s="143" t="s">
        <v>16</v>
      </c>
      <c r="W1" s="143"/>
    </row>
    <row r="2" spans="1:23" s="144" customFormat="1" ht="30">
      <c r="A2" s="142">
        <v>1</v>
      </c>
      <c r="B2" s="144" t="s">
        <v>47</v>
      </c>
      <c r="C2" s="145" t="s">
        <v>46</v>
      </c>
      <c r="D2" s="146" t="s">
        <v>264</v>
      </c>
      <c r="E2" s="144" t="s">
        <v>38</v>
      </c>
      <c r="F2" s="147">
        <v>250000</v>
      </c>
      <c r="G2" s="147">
        <v>250000</v>
      </c>
      <c r="H2" s="147">
        <v>250000</v>
      </c>
      <c r="I2" s="147">
        <v>250000</v>
      </c>
      <c r="J2" s="147">
        <v>250000</v>
      </c>
      <c r="K2" s="147" t="s">
        <v>25</v>
      </c>
      <c r="M2" s="147"/>
      <c r="N2" s="144" t="s">
        <v>37</v>
      </c>
      <c r="O2" s="144" t="s">
        <v>36</v>
      </c>
      <c r="P2" s="144" t="s">
        <v>35</v>
      </c>
      <c r="Q2" s="155">
        <v>50</v>
      </c>
      <c r="R2" s="144" t="s">
        <v>23</v>
      </c>
      <c r="S2" s="145" t="s">
        <v>27</v>
      </c>
      <c r="T2" s="144" t="s">
        <v>32</v>
      </c>
      <c r="U2" s="152"/>
      <c r="V2" s="145" t="s">
        <v>34</v>
      </c>
    </row>
    <row r="3" spans="1:23" s="144" customFormat="1">
      <c r="A3" s="142">
        <v>2</v>
      </c>
      <c r="B3" s="144" t="s">
        <v>71</v>
      </c>
      <c r="C3" s="145" t="s">
        <v>258</v>
      </c>
      <c r="D3" s="146" t="s">
        <v>264</v>
      </c>
      <c r="E3" s="144" t="s">
        <v>38</v>
      </c>
      <c r="F3" s="147">
        <v>40000</v>
      </c>
      <c r="G3" s="147">
        <v>40000</v>
      </c>
      <c r="H3" s="147">
        <v>40000</v>
      </c>
      <c r="I3" s="147">
        <v>40000</v>
      </c>
      <c r="J3" s="147">
        <v>40000</v>
      </c>
      <c r="K3" s="147" t="s">
        <v>25</v>
      </c>
      <c r="M3" s="147"/>
      <c r="N3" s="144" t="s">
        <v>37</v>
      </c>
      <c r="O3" s="144" t="s">
        <v>36</v>
      </c>
      <c r="P3" s="144" t="s">
        <v>35</v>
      </c>
      <c r="Q3" s="155">
        <v>50</v>
      </c>
      <c r="S3" s="145"/>
      <c r="U3" s="152"/>
      <c r="V3" s="145"/>
    </row>
    <row r="4" spans="1:23" s="144" customFormat="1" ht="30">
      <c r="A4" s="142">
        <v>3</v>
      </c>
      <c r="B4" s="144" t="s">
        <v>43</v>
      </c>
      <c r="C4" s="145" t="s">
        <v>39</v>
      </c>
      <c r="D4" s="146" t="s">
        <v>264</v>
      </c>
      <c r="E4" s="144" t="s">
        <v>38</v>
      </c>
      <c r="F4" s="147">
        <v>500000</v>
      </c>
      <c r="G4" s="147"/>
      <c r="H4" s="147"/>
      <c r="I4" s="147"/>
      <c r="J4" s="147"/>
      <c r="K4" s="147" t="s">
        <v>25</v>
      </c>
      <c r="M4" s="147"/>
      <c r="N4" s="144" t="s">
        <v>37</v>
      </c>
      <c r="O4" s="144" t="s">
        <v>36</v>
      </c>
      <c r="P4" s="144" t="s">
        <v>35</v>
      </c>
      <c r="Q4" s="155">
        <v>50</v>
      </c>
      <c r="R4" s="144" t="s">
        <v>23</v>
      </c>
      <c r="S4" s="145" t="s">
        <v>27</v>
      </c>
      <c r="T4" s="144" t="s">
        <v>32</v>
      </c>
      <c r="U4" s="152"/>
      <c r="V4" s="145" t="s">
        <v>34</v>
      </c>
    </row>
    <row r="5" spans="1:23" s="144" customFormat="1" ht="30">
      <c r="A5" s="142">
        <v>4</v>
      </c>
      <c r="B5" s="144" t="s">
        <v>260</v>
      </c>
      <c r="C5" s="145" t="s">
        <v>39</v>
      </c>
      <c r="D5" s="146" t="s">
        <v>264</v>
      </c>
      <c r="E5" s="144" t="s">
        <v>38</v>
      </c>
      <c r="F5" s="147">
        <v>1500000</v>
      </c>
      <c r="G5" s="147"/>
      <c r="H5" s="147">
        <v>500000</v>
      </c>
      <c r="I5" s="147"/>
      <c r="J5" s="147"/>
      <c r="K5" s="147" t="s">
        <v>261</v>
      </c>
      <c r="L5" s="144" t="s">
        <v>126</v>
      </c>
      <c r="M5" s="147">
        <v>1244000</v>
      </c>
      <c r="N5" s="144" t="s">
        <v>37</v>
      </c>
      <c r="O5" s="144" t="s">
        <v>36</v>
      </c>
      <c r="P5" s="144" t="s">
        <v>35</v>
      </c>
      <c r="Q5" s="155">
        <v>50</v>
      </c>
      <c r="R5" s="144" t="s">
        <v>23</v>
      </c>
      <c r="S5" s="145" t="s">
        <v>27</v>
      </c>
      <c r="T5" s="144" t="s">
        <v>32</v>
      </c>
      <c r="U5" s="152"/>
      <c r="V5" s="145" t="s">
        <v>34</v>
      </c>
    </row>
    <row r="6" spans="1:23" s="144" customFormat="1" ht="30">
      <c r="A6" s="142">
        <v>5</v>
      </c>
      <c r="B6" s="144" t="s">
        <v>45</v>
      </c>
      <c r="C6" s="145" t="s">
        <v>39</v>
      </c>
      <c r="D6" s="146"/>
      <c r="E6" s="144" t="s">
        <v>38</v>
      </c>
      <c r="F6" s="147"/>
      <c r="G6" s="147">
        <v>310000</v>
      </c>
      <c r="H6" s="147"/>
      <c r="I6" s="147"/>
      <c r="J6" s="147"/>
      <c r="K6" s="147"/>
      <c r="M6" s="147"/>
      <c r="N6" s="144" t="s">
        <v>37</v>
      </c>
      <c r="O6" s="144" t="s">
        <v>36</v>
      </c>
      <c r="P6" s="144" t="s">
        <v>35</v>
      </c>
      <c r="Q6" s="155">
        <v>50</v>
      </c>
      <c r="R6" s="144" t="s">
        <v>23</v>
      </c>
      <c r="S6" s="145" t="s">
        <v>27</v>
      </c>
      <c r="T6" s="144" t="s">
        <v>32</v>
      </c>
      <c r="U6" s="152"/>
      <c r="V6" s="145" t="s">
        <v>34</v>
      </c>
    </row>
    <row r="7" spans="1:23" s="144" customFormat="1" ht="30">
      <c r="A7" s="142">
        <v>6</v>
      </c>
      <c r="B7" s="144" t="s">
        <v>44</v>
      </c>
      <c r="C7" s="145" t="s">
        <v>39</v>
      </c>
      <c r="D7" s="146"/>
      <c r="E7" s="144" t="s">
        <v>38</v>
      </c>
      <c r="G7" s="147">
        <v>275000</v>
      </c>
      <c r="H7" s="147"/>
      <c r="I7" s="147"/>
      <c r="J7" s="147"/>
      <c r="K7" s="147" t="s">
        <v>25</v>
      </c>
      <c r="M7" s="147"/>
      <c r="N7" s="144" t="s">
        <v>37</v>
      </c>
      <c r="O7" s="144" t="s">
        <v>36</v>
      </c>
      <c r="P7" s="144" t="s">
        <v>35</v>
      </c>
      <c r="Q7" s="155">
        <v>50</v>
      </c>
      <c r="R7" s="144" t="s">
        <v>26</v>
      </c>
      <c r="S7" s="145" t="s">
        <v>27</v>
      </c>
      <c r="T7" s="144" t="s">
        <v>32</v>
      </c>
      <c r="U7" s="152"/>
      <c r="V7" s="145" t="s">
        <v>34</v>
      </c>
    </row>
    <row r="8" spans="1:23" s="144" customFormat="1" ht="30">
      <c r="A8" s="142">
        <v>7</v>
      </c>
      <c r="B8" s="144" t="s">
        <v>42</v>
      </c>
      <c r="C8" s="145" t="s">
        <v>39</v>
      </c>
      <c r="D8" s="146"/>
      <c r="E8" s="144" t="s">
        <v>38</v>
      </c>
      <c r="G8" s="147">
        <v>150000</v>
      </c>
      <c r="H8" s="147"/>
      <c r="I8" s="147"/>
      <c r="J8" s="147"/>
      <c r="K8" s="147" t="s">
        <v>25</v>
      </c>
      <c r="M8" s="147"/>
      <c r="N8" s="144" t="s">
        <v>37</v>
      </c>
      <c r="O8" s="144" t="s">
        <v>36</v>
      </c>
      <c r="P8" s="144" t="s">
        <v>35</v>
      </c>
      <c r="Q8" s="155">
        <v>50</v>
      </c>
      <c r="R8" s="144" t="s">
        <v>26</v>
      </c>
      <c r="S8" s="145" t="s">
        <v>27</v>
      </c>
      <c r="T8" s="144" t="s">
        <v>32</v>
      </c>
      <c r="U8" s="152"/>
      <c r="V8" s="145" t="s">
        <v>34</v>
      </c>
    </row>
    <row r="9" spans="1:23" s="144" customFormat="1" ht="30">
      <c r="A9" s="142">
        <v>8</v>
      </c>
      <c r="B9" s="144" t="s">
        <v>41</v>
      </c>
      <c r="C9" s="145" t="s">
        <v>40</v>
      </c>
      <c r="D9" s="146" t="s">
        <v>264</v>
      </c>
      <c r="E9" s="144" t="s">
        <v>38</v>
      </c>
      <c r="F9" s="147">
        <v>30000</v>
      </c>
      <c r="G9" s="147">
        <v>30000</v>
      </c>
      <c r="H9" s="147">
        <v>30000</v>
      </c>
      <c r="I9" s="147">
        <v>30000</v>
      </c>
      <c r="J9" s="147">
        <v>30000</v>
      </c>
      <c r="K9" s="147" t="s">
        <v>25</v>
      </c>
      <c r="M9" s="147"/>
      <c r="N9" s="144" t="s">
        <v>37</v>
      </c>
      <c r="O9" s="144" t="s">
        <v>36</v>
      </c>
      <c r="P9" s="144" t="s">
        <v>35</v>
      </c>
      <c r="Q9" s="155">
        <v>50</v>
      </c>
      <c r="R9" s="144" t="s">
        <v>23</v>
      </c>
      <c r="S9" s="145" t="s">
        <v>27</v>
      </c>
      <c r="T9" s="144" t="s">
        <v>32</v>
      </c>
      <c r="U9" s="152"/>
      <c r="V9" s="145" t="s">
        <v>34</v>
      </c>
    </row>
    <row r="10" spans="1:23" s="144" customFormat="1">
      <c r="A10" s="142">
        <v>9</v>
      </c>
      <c r="B10" s="144" t="s">
        <v>190</v>
      </c>
      <c r="C10" s="145" t="s">
        <v>191</v>
      </c>
      <c r="D10" s="146"/>
      <c r="E10" s="144" t="s">
        <v>38</v>
      </c>
      <c r="G10" s="147">
        <v>1100000</v>
      </c>
      <c r="H10" s="147">
        <v>1600000</v>
      </c>
      <c r="I10" s="147"/>
      <c r="J10" s="147"/>
      <c r="K10" s="147" t="s">
        <v>257</v>
      </c>
      <c r="L10" s="144" t="s">
        <v>21</v>
      </c>
      <c r="M10" s="147">
        <v>600000</v>
      </c>
      <c r="Q10" s="155"/>
      <c r="S10" s="145"/>
      <c r="U10" s="152"/>
      <c r="V10" s="145"/>
    </row>
    <row r="11" spans="1:23" s="144" customFormat="1">
      <c r="A11" s="142">
        <v>10</v>
      </c>
      <c r="B11" s="144" t="s">
        <v>193</v>
      </c>
      <c r="C11" s="145" t="s">
        <v>191</v>
      </c>
      <c r="D11" s="146"/>
      <c r="E11" s="144" t="s">
        <v>38</v>
      </c>
      <c r="F11" s="147"/>
      <c r="G11" s="147"/>
      <c r="H11" s="147"/>
      <c r="I11" s="147">
        <v>650000</v>
      </c>
      <c r="J11" s="147"/>
      <c r="K11" s="147"/>
      <c r="M11" s="147"/>
      <c r="Q11" s="155"/>
      <c r="S11" s="145"/>
      <c r="U11" s="152"/>
      <c r="V11" s="145"/>
    </row>
    <row r="12" spans="1:23" s="144" customFormat="1">
      <c r="A12" s="142">
        <v>11</v>
      </c>
      <c r="B12" s="144" t="s">
        <v>259</v>
      </c>
      <c r="C12" s="145" t="s">
        <v>191</v>
      </c>
      <c r="D12" s="146"/>
      <c r="E12" s="144" t="s">
        <v>38</v>
      </c>
      <c r="F12" s="147"/>
      <c r="G12" s="147"/>
      <c r="H12" s="147"/>
      <c r="I12" s="147">
        <v>1500000</v>
      </c>
      <c r="J12" s="147">
        <v>1500000</v>
      </c>
      <c r="K12" s="147"/>
      <c r="M12" s="147"/>
      <c r="Q12" s="155"/>
      <c r="S12" s="145"/>
      <c r="U12" s="152"/>
      <c r="V12" s="145"/>
    </row>
    <row r="13" spans="1:23" s="144" customFormat="1">
      <c r="A13" s="142">
        <v>12</v>
      </c>
      <c r="B13" s="144" t="s">
        <v>192</v>
      </c>
      <c r="C13" s="145" t="s">
        <v>191</v>
      </c>
      <c r="D13" s="146"/>
      <c r="E13" s="144" t="s">
        <v>38</v>
      </c>
      <c r="F13" s="147"/>
      <c r="G13" s="147"/>
      <c r="H13" s="147"/>
      <c r="I13" s="147"/>
      <c r="J13" s="147">
        <v>350000</v>
      </c>
      <c r="K13" s="147"/>
      <c r="M13" s="147"/>
      <c r="Q13" s="155"/>
      <c r="S13" s="145"/>
      <c r="U13" s="152"/>
      <c r="V13" s="145"/>
    </row>
    <row r="14" spans="1:23" s="144" customFormat="1">
      <c r="A14" s="142"/>
      <c r="C14" s="145"/>
      <c r="D14" s="146"/>
      <c r="F14" s="203">
        <f>SUM(F2:F13)</f>
        <v>2320000</v>
      </c>
      <c r="G14" s="203">
        <f>SUM(G2:G13)</f>
        <v>2155000</v>
      </c>
      <c r="H14" s="203">
        <f>SUM(H2:H13)</f>
        <v>2420000</v>
      </c>
      <c r="I14" s="203">
        <f>SUM(I2:I13)</f>
        <v>2470000</v>
      </c>
      <c r="J14" s="203">
        <f>SUM(J2:J13)</f>
        <v>2170000</v>
      </c>
      <c r="K14" s="147"/>
      <c r="M14" s="147"/>
      <c r="Q14" s="155"/>
      <c r="S14" s="145"/>
      <c r="U14" s="152"/>
      <c r="V14" s="145"/>
    </row>
    <row r="15" spans="1:23" s="144" customFormat="1">
      <c r="A15" s="142"/>
      <c r="C15" s="145"/>
      <c r="D15" s="146"/>
      <c r="F15" s="147"/>
      <c r="G15" s="147"/>
      <c r="H15" s="147"/>
      <c r="I15" s="147"/>
      <c r="J15" s="147"/>
      <c r="K15" s="147"/>
      <c r="M15" s="147"/>
      <c r="Q15" s="155"/>
      <c r="S15" s="145"/>
      <c r="U15" s="152"/>
      <c r="V15" s="145"/>
    </row>
    <row r="16" spans="1:23" s="144" customFormat="1">
      <c r="A16" s="142"/>
      <c r="C16" s="145"/>
      <c r="D16" s="146"/>
      <c r="F16" s="147"/>
      <c r="G16" s="147"/>
      <c r="H16" s="147"/>
      <c r="I16" s="147"/>
      <c r="J16" s="147"/>
      <c r="K16" s="147"/>
      <c r="M16" s="147"/>
      <c r="Q16" s="155"/>
      <c r="S16" s="145"/>
      <c r="U16" s="152"/>
      <c r="V16" s="145"/>
    </row>
    <row r="17" spans="1:22" s="144" customFormat="1">
      <c r="A17" s="142"/>
      <c r="C17" s="145"/>
      <c r="D17" s="146"/>
      <c r="F17" s="147"/>
      <c r="G17" s="147"/>
      <c r="H17" s="147"/>
      <c r="I17" s="147"/>
      <c r="J17" s="147"/>
      <c r="K17" s="147"/>
      <c r="M17" s="147"/>
      <c r="Q17" s="155"/>
      <c r="S17" s="145"/>
      <c r="U17" s="152"/>
      <c r="V17" s="145"/>
    </row>
    <row r="18" spans="1:22" s="144" customFormat="1">
      <c r="A18" s="142"/>
      <c r="C18" s="145"/>
      <c r="D18" s="146"/>
      <c r="F18" s="147"/>
      <c r="G18" s="147"/>
      <c r="H18" s="147"/>
      <c r="I18" s="147"/>
      <c r="J18" s="147"/>
      <c r="K18" s="147"/>
      <c r="M18" s="147"/>
      <c r="Q18" s="155"/>
      <c r="S18" s="145"/>
      <c r="U18" s="152"/>
      <c r="V18" s="145"/>
    </row>
    <row r="19" spans="1:22" s="144" customFormat="1">
      <c r="A19" s="142"/>
      <c r="C19" s="145"/>
      <c r="D19" s="146"/>
      <c r="F19" s="147"/>
      <c r="G19" s="147"/>
      <c r="H19" s="147"/>
      <c r="I19" s="147"/>
      <c r="J19" s="147"/>
      <c r="K19" s="147"/>
      <c r="M19" s="147"/>
      <c r="Q19" s="155"/>
      <c r="S19" s="145"/>
      <c r="U19" s="152"/>
      <c r="V19" s="145"/>
    </row>
    <row r="20" spans="1:22" s="144" customFormat="1">
      <c r="A20" s="142"/>
      <c r="C20" s="145"/>
      <c r="D20" s="146"/>
      <c r="F20" s="147"/>
      <c r="G20" s="147"/>
      <c r="H20" s="147"/>
      <c r="I20" s="147"/>
      <c r="J20" s="147"/>
      <c r="K20" s="147"/>
      <c r="M20" s="147"/>
      <c r="Q20" s="155"/>
      <c r="S20" s="145"/>
      <c r="U20" s="152"/>
      <c r="V20" s="145"/>
    </row>
    <row r="21" spans="1:22" s="144" customFormat="1">
      <c r="A21" s="142"/>
      <c r="C21" s="145"/>
      <c r="D21" s="146"/>
      <c r="F21" s="147"/>
      <c r="G21" s="147"/>
      <c r="H21" s="147"/>
      <c r="I21" s="147"/>
      <c r="J21" s="147"/>
      <c r="K21" s="147"/>
      <c r="M21" s="147"/>
      <c r="Q21" s="155"/>
      <c r="S21" s="145"/>
      <c r="U21" s="152"/>
      <c r="V21" s="145"/>
    </row>
    <row r="22" spans="1:22" s="144" customFormat="1">
      <c r="A22" s="142"/>
      <c r="C22" s="145"/>
      <c r="D22" s="146"/>
      <c r="F22" s="147"/>
      <c r="G22" s="147"/>
      <c r="H22" s="147"/>
      <c r="I22" s="147"/>
      <c r="J22" s="147"/>
      <c r="K22" s="147"/>
      <c r="M22" s="147"/>
      <c r="Q22" s="155"/>
      <c r="S22" s="145"/>
      <c r="U22" s="152"/>
      <c r="V22" s="145"/>
    </row>
    <row r="23" spans="1:22">
      <c r="F23" s="156"/>
      <c r="G23" s="156"/>
      <c r="H23" s="156"/>
      <c r="I23" s="156"/>
      <c r="J23" s="156"/>
    </row>
  </sheetData>
  <pageMargins left="0.7" right="0.7" top="0.75" bottom="0.75" header="0.3" footer="0.3"/>
  <pageSetup paperSize="3" scale="82" orientation="landscape" r:id="rId1"/>
  <colBreaks count="1" manualBreakCount="1">
    <brk id="13" max="1048575" man="1"/>
  </colBreaks>
  <ignoredErrors>
    <ignoredError sqref="F14:J14" formulaRange="1"/>
  </ignoredErrors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DF6C8-DDB9-418D-85AE-C13AC590A768}">
  <sheetPr>
    <tabColor rgb="FF00B050"/>
  </sheetPr>
  <dimension ref="A1:V11"/>
  <sheetViews>
    <sheetView workbookViewId="0"/>
  </sheetViews>
  <sheetFormatPr defaultColWidth="9.140625" defaultRowHeight="15"/>
  <cols>
    <col min="1" max="1" width="3" style="153" bestFit="1" customWidth="1"/>
    <col min="2" max="2" width="36.140625" style="153" customWidth="1"/>
    <col min="3" max="3" width="46.7109375" style="153" bestFit="1" customWidth="1"/>
    <col min="4" max="4" width="7.5703125" style="153" bestFit="1" customWidth="1"/>
    <col min="5" max="5" width="15.7109375" style="153" bestFit="1" customWidth="1"/>
    <col min="6" max="7" width="12.5703125" style="153" bestFit="1" customWidth="1"/>
    <col min="8" max="10" width="14.140625" style="153" customWidth="1"/>
    <col min="11" max="11" width="25.28515625" style="153" bestFit="1" customWidth="1"/>
    <col min="12" max="12" width="11.85546875" style="153" bestFit="1" customWidth="1"/>
    <col min="13" max="13" width="22.5703125" style="153" bestFit="1" customWidth="1"/>
    <col min="14" max="14" width="17.85546875" style="153" bestFit="1" customWidth="1"/>
    <col min="15" max="15" width="15.7109375" style="153" bestFit="1" customWidth="1"/>
    <col min="16" max="17" width="10.5703125" style="153" bestFit="1" customWidth="1"/>
    <col min="18" max="18" width="13.140625" style="153" bestFit="1" customWidth="1"/>
    <col min="19" max="19" width="8.140625" style="153" bestFit="1" customWidth="1"/>
    <col min="20" max="20" width="14.5703125" style="153" bestFit="1" customWidth="1"/>
    <col min="21" max="21" width="9.140625" style="153"/>
    <col min="22" max="22" width="30.42578125" style="153" customWidth="1"/>
    <col min="23" max="16384" width="9.140625" style="153"/>
  </cols>
  <sheetData>
    <row r="1" spans="1:22" s="142" customFormat="1" ht="80.25" customHeight="1">
      <c r="A1" s="142" t="s">
        <v>0</v>
      </c>
      <c r="B1" s="142" t="s">
        <v>1</v>
      </c>
      <c r="C1" s="143" t="s">
        <v>2</v>
      </c>
      <c r="D1" s="143" t="s">
        <v>3</v>
      </c>
      <c r="E1" s="142" t="s">
        <v>4</v>
      </c>
      <c r="F1" s="201">
        <v>2025</v>
      </c>
      <c r="G1" s="201">
        <v>2026</v>
      </c>
      <c r="H1" s="201">
        <v>2027</v>
      </c>
      <c r="I1" s="201">
        <v>2028</v>
      </c>
      <c r="J1" s="201">
        <v>2029</v>
      </c>
      <c r="K1" s="201" t="s">
        <v>5</v>
      </c>
      <c r="L1" s="201" t="s">
        <v>6</v>
      </c>
      <c r="M1" s="201" t="s">
        <v>7</v>
      </c>
      <c r="N1" s="142" t="s">
        <v>8</v>
      </c>
      <c r="O1" s="142" t="s">
        <v>9</v>
      </c>
      <c r="P1" s="142" t="s">
        <v>48</v>
      </c>
      <c r="Q1" s="142" t="s">
        <v>11</v>
      </c>
      <c r="R1" s="142" t="s">
        <v>12</v>
      </c>
      <c r="S1" s="143" t="s">
        <v>13</v>
      </c>
      <c r="T1" s="142" t="s">
        <v>14</v>
      </c>
      <c r="U1" s="205" t="s">
        <v>15</v>
      </c>
      <c r="V1" s="143" t="s">
        <v>16</v>
      </c>
    </row>
    <row r="2" spans="1:22" s="144" customFormat="1" ht="30">
      <c r="A2" s="142">
        <v>1</v>
      </c>
      <c r="B2" s="144" t="s">
        <v>108</v>
      </c>
      <c r="C2" s="145" t="s">
        <v>197</v>
      </c>
      <c r="D2" s="146" t="s">
        <v>264</v>
      </c>
      <c r="E2" s="144" t="s">
        <v>109</v>
      </c>
      <c r="F2" s="149">
        <v>200000</v>
      </c>
      <c r="G2" s="149"/>
      <c r="I2" s="149"/>
      <c r="J2" s="149"/>
      <c r="K2" s="149" t="s">
        <v>242</v>
      </c>
      <c r="L2" s="149" t="s">
        <v>126</v>
      </c>
      <c r="M2" s="149">
        <v>10000</v>
      </c>
      <c r="N2" s="144" t="s">
        <v>69</v>
      </c>
      <c r="O2" s="144" t="s">
        <v>240</v>
      </c>
      <c r="P2" s="144" t="s">
        <v>86</v>
      </c>
      <c r="Q2" s="155">
        <v>25</v>
      </c>
      <c r="R2" s="144" t="s">
        <v>12</v>
      </c>
      <c r="S2" s="145" t="s">
        <v>27</v>
      </c>
      <c r="T2" s="144" t="s">
        <v>24</v>
      </c>
      <c r="U2" s="151">
        <v>17500</v>
      </c>
      <c r="V2" s="145" t="s">
        <v>255</v>
      </c>
    </row>
    <row r="3" spans="1:22" s="144" customFormat="1">
      <c r="A3" s="142">
        <v>2</v>
      </c>
      <c r="B3" s="144" t="s">
        <v>108</v>
      </c>
      <c r="C3" s="145" t="s">
        <v>254</v>
      </c>
      <c r="D3" s="146"/>
      <c r="E3" s="144" t="s">
        <v>109</v>
      </c>
      <c r="F3" s="149"/>
      <c r="G3" s="149"/>
      <c r="H3" s="149">
        <v>350000</v>
      </c>
      <c r="I3" s="149"/>
      <c r="J3" s="149"/>
      <c r="K3" s="149"/>
      <c r="L3" s="149" t="s">
        <v>82</v>
      </c>
      <c r="M3" s="149"/>
      <c r="Q3" s="155"/>
      <c r="S3" s="145"/>
      <c r="U3" s="151"/>
      <c r="V3" s="145"/>
    </row>
    <row r="4" spans="1:22" s="144" customFormat="1" ht="30">
      <c r="A4" s="142">
        <v>3</v>
      </c>
      <c r="B4" s="144" t="s">
        <v>108</v>
      </c>
      <c r="C4" s="145" t="s">
        <v>256</v>
      </c>
      <c r="D4" s="146"/>
      <c r="E4" s="144" t="s">
        <v>109</v>
      </c>
      <c r="F4" s="149"/>
      <c r="G4" s="149"/>
      <c r="H4" s="149"/>
      <c r="I4" s="149">
        <v>550000</v>
      </c>
      <c r="J4" s="149"/>
      <c r="K4" s="149"/>
      <c r="L4" s="149" t="s">
        <v>82</v>
      </c>
      <c r="M4" s="149"/>
      <c r="Q4" s="155"/>
      <c r="S4" s="145"/>
      <c r="U4" s="151"/>
      <c r="V4" s="145"/>
    </row>
    <row r="5" spans="1:22" s="144" customFormat="1" ht="30">
      <c r="A5" s="142">
        <v>4</v>
      </c>
      <c r="B5" s="144" t="s">
        <v>111</v>
      </c>
      <c r="C5" s="144" t="s">
        <v>111</v>
      </c>
      <c r="D5" s="146"/>
      <c r="E5" s="144" t="s">
        <v>109</v>
      </c>
      <c r="F5" s="149"/>
      <c r="H5" s="149">
        <v>50000</v>
      </c>
      <c r="I5" s="149"/>
      <c r="J5" s="149"/>
      <c r="K5" s="149"/>
      <c r="L5" s="149" t="s">
        <v>25</v>
      </c>
      <c r="M5" s="149"/>
      <c r="N5" s="144" t="s">
        <v>95</v>
      </c>
      <c r="O5" s="144" t="s">
        <v>112</v>
      </c>
      <c r="P5" s="144" t="s">
        <v>35</v>
      </c>
      <c r="Q5" s="155">
        <v>20</v>
      </c>
      <c r="R5" s="144" t="s">
        <v>26</v>
      </c>
      <c r="S5" s="145" t="s">
        <v>27</v>
      </c>
      <c r="T5" s="144" t="s">
        <v>113</v>
      </c>
      <c r="U5" s="151"/>
      <c r="V5" s="145"/>
    </row>
    <row r="6" spans="1:22" ht="30">
      <c r="A6" s="142">
        <v>5</v>
      </c>
      <c r="B6" s="144" t="s">
        <v>121</v>
      </c>
      <c r="C6" s="145" t="s">
        <v>241</v>
      </c>
      <c r="E6" s="144" t="s">
        <v>109</v>
      </c>
      <c r="G6" s="154">
        <v>20000</v>
      </c>
      <c r="H6" s="154">
        <v>100000</v>
      </c>
      <c r="I6" s="154"/>
      <c r="J6" s="154"/>
      <c r="L6" s="147" t="s">
        <v>82</v>
      </c>
    </row>
    <row r="7" spans="1:22" s="144" customFormat="1" ht="30">
      <c r="A7" s="142">
        <v>6</v>
      </c>
      <c r="B7" s="144" t="s">
        <v>114</v>
      </c>
      <c r="C7" s="145" t="s">
        <v>120</v>
      </c>
      <c r="D7" s="146"/>
      <c r="E7" s="144" t="s">
        <v>109</v>
      </c>
      <c r="H7" s="149">
        <v>60000</v>
      </c>
      <c r="I7" s="147"/>
      <c r="J7" s="147"/>
      <c r="K7" s="147" t="s">
        <v>118</v>
      </c>
      <c r="L7" s="149" t="s">
        <v>119</v>
      </c>
      <c r="M7" s="149"/>
      <c r="N7" s="144" t="s">
        <v>69</v>
      </c>
      <c r="O7" s="144" t="s">
        <v>116</v>
      </c>
      <c r="P7" s="144" t="s">
        <v>29</v>
      </c>
      <c r="Q7" s="155">
        <v>20</v>
      </c>
      <c r="R7" s="144" t="s">
        <v>26</v>
      </c>
      <c r="S7" s="145" t="s">
        <v>27</v>
      </c>
      <c r="T7" s="144" t="s">
        <v>24</v>
      </c>
      <c r="U7" s="151"/>
      <c r="V7" s="145" t="s">
        <v>117</v>
      </c>
    </row>
    <row r="8" spans="1:22" s="144" customFormat="1" ht="15" customHeight="1">
      <c r="A8" s="142">
        <v>7</v>
      </c>
      <c r="B8" s="144" t="s">
        <v>114</v>
      </c>
      <c r="C8" s="145" t="s">
        <v>122</v>
      </c>
      <c r="D8" s="146"/>
      <c r="E8" s="144" t="s">
        <v>109</v>
      </c>
      <c r="F8" s="149"/>
      <c r="I8" s="149">
        <v>80000</v>
      </c>
      <c r="J8" s="147"/>
      <c r="K8" s="147" t="s">
        <v>118</v>
      </c>
      <c r="L8" s="149" t="s">
        <v>119</v>
      </c>
      <c r="M8" s="149"/>
      <c r="N8" s="144" t="s">
        <v>69</v>
      </c>
      <c r="O8" s="144" t="s">
        <v>116</v>
      </c>
      <c r="P8" s="144" t="s">
        <v>29</v>
      </c>
      <c r="Q8" s="155">
        <v>20</v>
      </c>
      <c r="R8" s="144" t="s">
        <v>26</v>
      </c>
      <c r="S8" s="145" t="s">
        <v>27</v>
      </c>
      <c r="T8" s="144" t="s">
        <v>24</v>
      </c>
      <c r="U8" s="151"/>
      <c r="V8" s="145" t="s">
        <v>117</v>
      </c>
    </row>
    <row r="9" spans="1:22" s="144" customFormat="1" ht="30">
      <c r="A9" s="142">
        <v>8</v>
      </c>
      <c r="B9" s="144" t="s">
        <v>114</v>
      </c>
      <c r="C9" s="145" t="s">
        <v>123</v>
      </c>
      <c r="D9" s="146"/>
      <c r="E9" s="144" t="s">
        <v>109</v>
      </c>
      <c r="F9" s="149"/>
      <c r="H9" s="147"/>
      <c r="J9" s="149">
        <v>550000</v>
      </c>
      <c r="K9" s="147" t="s">
        <v>115</v>
      </c>
      <c r="L9" s="147" t="s">
        <v>82</v>
      </c>
      <c r="M9" s="149"/>
      <c r="N9" s="144" t="s">
        <v>69</v>
      </c>
      <c r="O9" s="144" t="s">
        <v>116</v>
      </c>
      <c r="P9" s="144" t="s">
        <v>29</v>
      </c>
      <c r="Q9" s="155">
        <v>20</v>
      </c>
      <c r="R9" s="144" t="s">
        <v>26</v>
      </c>
      <c r="S9" s="145" t="s">
        <v>27</v>
      </c>
      <c r="T9" s="144" t="s">
        <v>24</v>
      </c>
      <c r="U9" s="151"/>
      <c r="V9" s="145" t="s">
        <v>117</v>
      </c>
    </row>
    <row r="10" spans="1:22" s="144" customFormat="1">
      <c r="A10" s="142"/>
      <c r="C10" s="145"/>
      <c r="D10" s="146"/>
      <c r="F10" s="203">
        <f>SUM(F2:F9)</f>
        <v>200000</v>
      </c>
      <c r="G10" s="203">
        <f>SUM(G2:G9)</f>
        <v>20000</v>
      </c>
      <c r="H10" s="203">
        <f>SUM(H3:H9)</f>
        <v>560000</v>
      </c>
      <c r="I10" s="203">
        <f>SUM(I2:I9)</f>
        <v>630000</v>
      </c>
      <c r="J10" s="203">
        <f>SUM(J2:J9)</f>
        <v>550000</v>
      </c>
      <c r="K10" s="202"/>
      <c r="L10" s="202"/>
      <c r="M10" s="202">
        <f>SUM(M9:M9)</f>
        <v>0</v>
      </c>
      <c r="Q10" s="155"/>
      <c r="S10" s="145"/>
      <c r="U10" s="151"/>
      <c r="V10" s="145"/>
    </row>
    <row r="11" spans="1:22" s="144" customFormat="1">
      <c r="A11" s="142"/>
      <c r="C11" s="145"/>
      <c r="D11" s="146"/>
      <c r="F11" s="149"/>
      <c r="G11" s="149"/>
      <c r="H11" s="149"/>
      <c r="I11" s="149"/>
      <c r="J11" s="149"/>
      <c r="K11" s="149"/>
      <c r="L11" s="149"/>
      <c r="M11" s="149"/>
      <c r="Q11" s="155"/>
      <c r="S11" s="145"/>
      <c r="U11" s="151"/>
      <c r="V11" s="145"/>
    </row>
  </sheetData>
  <pageMargins left="0.7" right="0.7" top="0.75" bottom="0.75" header="0.3" footer="0.3"/>
  <pageSetup paperSize="3" scale="79" orientation="landscape" r:id="rId1"/>
  <colBreaks count="1" manualBreakCount="1">
    <brk id="13" max="1048575" man="1"/>
  </colBreaks>
  <ignoredErrors>
    <ignoredError sqref="F10:J10" formulaRange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CF9CA-D2F6-4D9B-BCFE-70ED0457DE63}">
  <sheetPr>
    <tabColor rgb="FF00B050"/>
  </sheetPr>
  <dimension ref="A1:W27"/>
  <sheetViews>
    <sheetView workbookViewId="0"/>
  </sheetViews>
  <sheetFormatPr defaultColWidth="9.140625" defaultRowHeight="15"/>
  <cols>
    <col min="1" max="1" width="3.28515625" style="153" customWidth="1"/>
    <col min="2" max="2" width="48.42578125" style="153" bestFit="1" customWidth="1"/>
    <col min="3" max="3" width="49.140625" style="153" customWidth="1"/>
    <col min="4" max="4" width="7.5703125" style="153" bestFit="1" customWidth="1"/>
    <col min="5" max="5" width="15.7109375" style="153" bestFit="1" customWidth="1"/>
    <col min="6" max="6" width="14.28515625" style="153" bestFit="1" customWidth="1"/>
    <col min="7" max="7" width="12.5703125" style="153" bestFit="1" customWidth="1"/>
    <col min="8" max="10" width="11.42578125" style="153" customWidth="1"/>
    <col min="11" max="11" width="30.140625" style="153" bestFit="1" customWidth="1"/>
    <col min="12" max="12" width="11.85546875" style="153" bestFit="1" customWidth="1"/>
    <col min="13" max="13" width="22.5703125" style="153" bestFit="1" customWidth="1"/>
    <col min="14" max="14" width="17.28515625" style="153" customWidth="1"/>
    <col min="15" max="15" width="18.7109375" style="153" customWidth="1"/>
    <col min="16" max="16" width="17.140625" style="153" customWidth="1"/>
    <col min="17" max="17" width="10.5703125" style="153" bestFit="1" customWidth="1"/>
    <col min="18" max="18" width="13.140625" style="153" bestFit="1" customWidth="1"/>
    <col min="19" max="19" width="17" style="153" customWidth="1"/>
    <col min="20" max="20" width="14.5703125" style="153" bestFit="1" customWidth="1"/>
    <col min="21" max="22" width="22.42578125" style="153" customWidth="1"/>
    <col min="23" max="23" width="6.28515625" style="153" bestFit="1" customWidth="1"/>
    <col min="24" max="16384" width="9.140625" style="153"/>
  </cols>
  <sheetData>
    <row r="1" spans="1:23" s="142" customFormat="1" ht="45">
      <c r="A1" s="142" t="s">
        <v>0</v>
      </c>
      <c r="B1" s="142" t="s">
        <v>1</v>
      </c>
      <c r="C1" s="143" t="s">
        <v>2</v>
      </c>
      <c r="D1" s="143" t="s">
        <v>3</v>
      </c>
      <c r="E1" s="142" t="s">
        <v>4</v>
      </c>
      <c r="F1" s="201">
        <v>2025</v>
      </c>
      <c r="G1" s="201">
        <v>2026</v>
      </c>
      <c r="H1" s="201">
        <v>2027</v>
      </c>
      <c r="I1" s="201">
        <v>2028</v>
      </c>
      <c r="J1" s="201">
        <v>2029</v>
      </c>
      <c r="K1" s="201" t="s">
        <v>5</v>
      </c>
      <c r="L1" s="201" t="s">
        <v>6</v>
      </c>
      <c r="M1" s="201" t="s">
        <v>7</v>
      </c>
      <c r="N1" s="142" t="s">
        <v>8</v>
      </c>
      <c r="O1" s="142" t="s">
        <v>9</v>
      </c>
      <c r="P1" s="142" t="s">
        <v>48</v>
      </c>
      <c r="Q1" s="142" t="s">
        <v>11</v>
      </c>
      <c r="R1" s="142" t="s">
        <v>12</v>
      </c>
      <c r="S1" s="143" t="s">
        <v>13</v>
      </c>
      <c r="T1" s="142" t="s">
        <v>14</v>
      </c>
      <c r="U1" s="143" t="s">
        <v>15</v>
      </c>
      <c r="V1" s="143" t="s">
        <v>16</v>
      </c>
      <c r="W1" s="142" t="s">
        <v>17</v>
      </c>
    </row>
    <row r="2" spans="1:23" s="144" customFormat="1">
      <c r="A2" s="142">
        <v>1</v>
      </c>
      <c r="B2" s="144" t="s">
        <v>50</v>
      </c>
      <c r="C2" s="145" t="s">
        <v>125</v>
      </c>
      <c r="D2" s="146"/>
      <c r="E2" s="144" t="s">
        <v>49</v>
      </c>
      <c r="F2" s="147">
        <v>200000</v>
      </c>
      <c r="G2" s="147">
        <v>200000</v>
      </c>
      <c r="H2" s="147">
        <v>200000</v>
      </c>
      <c r="I2" s="147">
        <v>200000</v>
      </c>
      <c r="J2" s="147">
        <v>200000</v>
      </c>
      <c r="K2" s="147" t="s">
        <v>178</v>
      </c>
      <c r="L2" s="147" t="s">
        <v>179</v>
      </c>
      <c r="M2" s="147">
        <v>200000</v>
      </c>
      <c r="N2" s="144" t="s">
        <v>79</v>
      </c>
      <c r="O2" s="144" t="s">
        <v>54</v>
      </c>
      <c r="P2" s="144" t="s">
        <v>35</v>
      </c>
      <c r="Q2" s="155">
        <v>50</v>
      </c>
      <c r="R2" s="144" t="s">
        <v>23</v>
      </c>
      <c r="S2" s="145" t="s">
        <v>27</v>
      </c>
      <c r="T2" s="144" t="s">
        <v>32</v>
      </c>
      <c r="V2" s="145" t="s">
        <v>30</v>
      </c>
    </row>
    <row r="3" spans="1:23" s="144" customFormat="1">
      <c r="A3" s="142">
        <v>2</v>
      </c>
      <c r="B3" s="144" t="s">
        <v>181</v>
      </c>
      <c r="C3" s="145" t="s">
        <v>57</v>
      </c>
      <c r="D3" s="146" t="s">
        <v>264</v>
      </c>
      <c r="E3" s="144" t="s">
        <v>49</v>
      </c>
      <c r="F3" s="147">
        <v>250000</v>
      </c>
      <c r="G3" s="147"/>
      <c r="H3" s="147"/>
      <c r="I3" s="147"/>
      <c r="J3" s="147"/>
      <c r="K3" s="147" t="s">
        <v>171</v>
      </c>
      <c r="L3" s="147" t="s">
        <v>126</v>
      </c>
      <c r="M3" s="147">
        <v>146283</v>
      </c>
      <c r="N3" s="144" t="s">
        <v>53</v>
      </c>
      <c r="O3" s="144" t="s">
        <v>54</v>
      </c>
      <c r="P3" s="144" t="s">
        <v>29</v>
      </c>
      <c r="Q3" s="155">
        <v>25</v>
      </c>
      <c r="R3" s="144" t="s">
        <v>23</v>
      </c>
      <c r="S3" s="145" t="s">
        <v>55</v>
      </c>
      <c r="T3" s="144" t="s">
        <v>24</v>
      </c>
      <c r="V3" s="145"/>
    </row>
    <row r="4" spans="1:23" s="144" customFormat="1">
      <c r="A4" s="142">
        <v>3</v>
      </c>
      <c r="B4" s="144" t="s">
        <v>58</v>
      </c>
      <c r="C4" s="145" t="s">
        <v>59</v>
      </c>
      <c r="D4" s="146" t="s">
        <v>264</v>
      </c>
      <c r="E4" s="144" t="s">
        <v>49</v>
      </c>
      <c r="F4" s="148">
        <v>500000</v>
      </c>
      <c r="G4" s="148"/>
      <c r="H4" s="148"/>
      <c r="I4" s="148"/>
      <c r="J4" s="148"/>
      <c r="K4" s="149" t="s">
        <v>60</v>
      </c>
      <c r="L4" s="149" t="s">
        <v>126</v>
      </c>
      <c r="M4" s="148">
        <v>300000</v>
      </c>
      <c r="N4" s="144" t="s">
        <v>53</v>
      </c>
      <c r="O4" s="144" t="s">
        <v>54</v>
      </c>
      <c r="P4" s="144" t="s">
        <v>29</v>
      </c>
      <c r="Q4" s="155">
        <v>25</v>
      </c>
      <c r="R4" s="144" t="s">
        <v>23</v>
      </c>
      <c r="S4" s="145" t="s">
        <v>27</v>
      </c>
      <c r="T4" s="144" t="s">
        <v>24</v>
      </c>
      <c r="V4" s="144" t="s">
        <v>30</v>
      </c>
      <c r="W4" s="145"/>
    </row>
    <row r="5" spans="1:23" s="144" customFormat="1" ht="30">
      <c r="A5" s="142">
        <v>4</v>
      </c>
      <c r="B5" s="144" t="s">
        <v>176</v>
      </c>
      <c r="C5" s="145" t="s">
        <v>177</v>
      </c>
      <c r="D5" s="146"/>
      <c r="E5" s="144" t="s">
        <v>49</v>
      </c>
      <c r="F5" s="148">
        <v>265000</v>
      </c>
      <c r="G5" s="148"/>
      <c r="H5" s="148"/>
      <c r="I5" s="148"/>
      <c r="J5" s="148"/>
      <c r="K5" s="149" t="s">
        <v>180</v>
      </c>
      <c r="L5" s="149" t="s">
        <v>126</v>
      </c>
      <c r="M5" s="148">
        <v>229008</v>
      </c>
      <c r="Q5" s="155"/>
      <c r="S5" s="145"/>
      <c r="W5" s="145"/>
    </row>
    <row r="6" spans="1:23" s="144" customFormat="1">
      <c r="A6" s="142">
        <v>5</v>
      </c>
      <c r="B6" s="144" t="s">
        <v>130</v>
      </c>
      <c r="C6" s="145" t="s">
        <v>182</v>
      </c>
      <c r="D6" s="146"/>
      <c r="E6" s="144" t="s">
        <v>49</v>
      </c>
      <c r="G6" s="148"/>
      <c r="H6" s="148">
        <v>50000</v>
      </c>
      <c r="I6" s="148"/>
      <c r="J6" s="148"/>
      <c r="K6" s="149"/>
      <c r="L6" s="149"/>
      <c r="M6" s="148"/>
      <c r="Q6" s="155"/>
      <c r="S6" s="145"/>
      <c r="W6" s="145"/>
    </row>
    <row r="7" spans="1:23" s="144" customFormat="1">
      <c r="A7" s="142">
        <v>6</v>
      </c>
      <c r="B7" s="144" t="s">
        <v>172</v>
      </c>
      <c r="C7" s="145" t="s">
        <v>173</v>
      </c>
      <c r="D7" s="146"/>
      <c r="E7" s="144" t="s">
        <v>49</v>
      </c>
      <c r="F7" s="148">
        <v>175000</v>
      </c>
      <c r="G7" s="150"/>
      <c r="H7" s="148"/>
      <c r="I7" s="148"/>
      <c r="J7" s="148"/>
      <c r="K7" s="149" t="s">
        <v>174</v>
      </c>
      <c r="L7" s="149" t="s">
        <v>126</v>
      </c>
      <c r="M7" s="148">
        <v>138888</v>
      </c>
      <c r="N7" s="144" t="s">
        <v>53</v>
      </c>
      <c r="O7" s="144" t="s">
        <v>70</v>
      </c>
      <c r="P7" s="144" t="s">
        <v>29</v>
      </c>
      <c r="Q7" s="155">
        <v>25</v>
      </c>
      <c r="R7" s="144" t="s">
        <v>23</v>
      </c>
      <c r="S7" s="145" t="s">
        <v>55</v>
      </c>
      <c r="T7" s="144" t="s">
        <v>24</v>
      </c>
      <c r="W7" s="145"/>
    </row>
    <row r="8" spans="1:23" s="144" customFormat="1" ht="30">
      <c r="A8" s="142">
        <v>7</v>
      </c>
      <c r="B8" s="144" t="s">
        <v>262</v>
      </c>
      <c r="C8" s="145" t="s">
        <v>263</v>
      </c>
      <c r="D8" s="146"/>
      <c r="E8" s="144" t="s">
        <v>49</v>
      </c>
      <c r="F8" s="150">
        <v>65000</v>
      </c>
      <c r="G8" s="148">
        <v>35000</v>
      </c>
      <c r="H8" s="150">
        <v>135000</v>
      </c>
      <c r="I8" s="148"/>
      <c r="J8" s="148"/>
      <c r="K8" s="149"/>
      <c r="L8" s="149" t="s">
        <v>82</v>
      </c>
      <c r="M8" s="148"/>
      <c r="Q8" s="155"/>
      <c r="S8" s="145"/>
      <c r="W8" s="145"/>
    </row>
    <row r="9" spans="1:23" s="144" customFormat="1">
      <c r="A9" s="142">
        <v>8</v>
      </c>
      <c r="B9" s="144" t="s">
        <v>51</v>
      </c>
      <c r="C9" s="145" t="s">
        <v>52</v>
      </c>
      <c r="D9" s="146" t="s">
        <v>264</v>
      </c>
      <c r="E9" s="144" t="s">
        <v>49</v>
      </c>
      <c r="F9" s="147">
        <v>20000</v>
      </c>
      <c r="G9" s="147">
        <v>20000</v>
      </c>
      <c r="H9" s="147">
        <v>20000</v>
      </c>
      <c r="I9" s="147">
        <v>20000</v>
      </c>
      <c r="J9" s="147">
        <v>20000</v>
      </c>
      <c r="L9" s="147" t="s">
        <v>25</v>
      </c>
      <c r="M9" s="147"/>
      <c r="N9" s="144" t="s">
        <v>53</v>
      </c>
      <c r="O9" s="144" t="s">
        <v>54</v>
      </c>
      <c r="P9" s="144" t="s">
        <v>29</v>
      </c>
      <c r="Q9" s="155">
        <v>25</v>
      </c>
      <c r="R9" s="144" t="s">
        <v>23</v>
      </c>
      <c r="S9" s="145" t="s">
        <v>55</v>
      </c>
      <c r="T9" s="144" t="s">
        <v>28</v>
      </c>
      <c r="V9" s="145" t="s">
        <v>56</v>
      </c>
    </row>
    <row r="10" spans="1:23" s="144" customFormat="1" ht="30">
      <c r="A10" s="142">
        <v>9</v>
      </c>
      <c r="B10" s="144" t="s">
        <v>252</v>
      </c>
      <c r="C10" s="145" t="s">
        <v>253</v>
      </c>
      <c r="D10" s="146"/>
      <c r="E10" s="144" t="s">
        <v>49</v>
      </c>
      <c r="F10" s="147">
        <v>25000</v>
      </c>
      <c r="G10" s="147">
        <v>25000</v>
      </c>
      <c r="H10" s="147">
        <v>25000</v>
      </c>
      <c r="I10" s="147">
        <v>25000</v>
      </c>
      <c r="J10" s="147">
        <v>25000</v>
      </c>
      <c r="L10" s="149" t="s">
        <v>25</v>
      </c>
      <c r="M10" s="148"/>
      <c r="Q10" s="155"/>
      <c r="S10" s="145"/>
      <c r="V10" s="145"/>
    </row>
    <row r="11" spans="1:23" s="144" customFormat="1" ht="30">
      <c r="A11" s="142">
        <v>10</v>
      </c>
      <c r="B11" s="144" t="s">
        <v>62</v>
      </c>
      <c r="C11" s="145" t="s">
        <v>65</v>
      </c>
      <c r="D11" s="146"/>
      <c r="E11" s="144" t="s">
        <v>49</v>
      </c>
      <c r="F11" s="151">
        <v>70000</v>
      </c>
      <c r="G11" s="147"/>
      <c r="H11" s="147"/>
      <c r="I11" s="147"/>
      <c r="J11" s="147"/>
      <c r="K11" s="147"/>
      <c r="L11" s="147" t="s">
        <v>25</v>
      </c>
      <c r="M11" s="147"/>
      <c r="N11" s="144" t="s">
        <v>53</v>
      </c>
      <c r="O11" s="144" t="s">
        <v>54</v>
      </c>
      <c r="P11" s="144" t="s">
        <v>35</v>
      </c>
      <c r="Q11" s="155">
        <v>30</v>
      </c>
      <c r="R11" s="144" t="s">
        <v>23</v>
      </c>
      <c r="S11" s="145" t="s">
        <v>27</v>
      </c>
      <c r="T11" s="144" t="s">
        <v>24</v>
      </c>
      <c r="V11" s="145" t="s">
        <v>64</v>
      </c>
    </row>
    <row r="12" spans="1:23" s="144" customFormat="1" ht="30">
      <c r="A12" s="142">
        <v>11</v>
      </c>
      <c r="B12" s="144" t="s">
        <v>62</v>
      </c>
      <c r="C12" s="145" t="s">
        <v>63</v>
      </c>
      <c r="D12" s="146"/>
      <c r="E12" s="144" t="s">
        <v>49</v>
      </c>
      <c r="F12" s="150"/>
      <c r="G12" s="147">
        <v>135000</v>
      </c>
      <c r="H12" s="147"/>
      <c r="I12" s="147"/>
      <c r="J12" s="147"/>
      <c r="K12" s="147"/>
      <c r="L12" s="147" t="s">
        <v>25</v>
      </c>
      <c r="M12" s="147"/>
      <c r="N12" s="144" t="s">
        <v>53</v>
      </c>
      <c r="O12" s="144" t="s">
        <v>54</v>
      </c>
      <c r="P12" s="144" t="s">
        <v>35</v>
      </c>
      <c r="Q12" s="155">
        <v>30</v>
      </c>
      <c r="R12" s="144" t="s">
        <v>23</v>
      </c>
      <c r="S12" s="145" t="s">
        <v>27</v>
      </c>
      <c r="T12" s="144" t="s">
        <v>24</v>
      </c>
      <c r="V12" s="145" t="s">
        <v>64</v>
      </c>
    </row>
    <row r="13" spans="1:23" s="144" customFormat="1" ht="30">
      <c r="A13" s="142">
        <v>12</v>
      </c>
      <c r="B13" s="144" t="s">
        <v>62</v>
      </c>
      <c r="C13" s="145" t="s">
        <v>66</v>
      </c>
      <c r="D13" s="146"/>
      <c r="E13" s="144" t="s">
        <v>49</v>
      </c>
      <c r="F13" s="150"/>
      <c r="G13" s="147"/>
      <c r="H13" s="147">
        <v>50000</v>
      </c>
      <c r="I13" s="147"/>
      <c r="J13" s="147"/>
      <c r="K13" s="147"/>
      <c r="L13" s="147" t="s">
        <v>25</v>
      </c>
      <c r="M13" s="147"/>
      <c r="N13" s="144" t="s">
        <v>53</v>
      </c>
      <c r="O13" s="144" t="s">
        <v>54</v>
      </c>
      <c r="P13" s="144" t="s">
        <v>35</v>
      </c>
      <c r="Q13" s="155">
        <v>30</v>
      </c>
      <c r="R13" s="144" t="s">
        <v>23</v>
      </c>
      <c r="S13" s="145" t="s">
        <v>27</v>
      </c>
      <c r="T13" s="144" t="s">
        <v>24</v>
      </c>
      <c r="V13" s="145" t="s">
        <v>64</v>
      </c>
    </row>
    <row r="14" spans="1:23" s="144" customFormat="1" ht="30">
      <c r="A14" s="142">
        <v>13</v>
      </c>
      <c r="B14" s="144" t="s">
        <v>62</v>
      </c>
      <c r="C14" s="145" t="s">
        <v>67</v>
      </c>
      <c r="D14" s="146"/>
      <c r="E14" s="144" t="s">
        <v>49</v>
      </c>
      <c r="F14" s="150"/>
      <c r="G14" s="148"/>
      <c r="H14" s="148"/>
      <c r="I14" s="148">
        <v>95000</v>
      </c>
      <c r="J14" s="147"/>
      <c r="K14" s="147"/>
      <c r="L14" s="147" t="s">
        <v>25</v>
      </c>
      <c r="M14" s="148"/>
      <c r="N14" s="144" t="s">
        <v>53</v>
      </c>
      <c r="O14" s="144" t="s">
        <v>54</v>
      </c>
      <c r="P14" s="144" t="s">
        <v>35</v>
      </c>
      <c r="Q14" s="155">
        <v>30</v>
      </c>
      <c r="R14" s="144" t="s">
        <v>23</v>
      </c>
      <c r="S14" s="145" t="s">
        <v>27</v>
      </c>
      <c r="T14" s="144" t="s">
        <v>24</v>
      </c>
      <c r="V14" s="145" t="s">
        <v>64</v>
      </c>
    </row>
    <row r="15" spans="1:23" s="144" customFormat="1" ht="30">
      <c r="A15" s="142">
        <v>14</v>
      </c>
      <c r="B15" s="144" t="s">
        <v>62</v>
      </c>
      <c r="C15" s="145" t="s">
        <v>68</v>
      </c>
      <c r="D15" s="146"/>
      <c r="E15" s="144" t="s">
        <v>49</v>
      </c>
      <c r="F15" s="150"/>
      <c r="G15" s="148"/>
      <c r="H15" s="148"/>
      <c r="I15" s="148"/>
      <c r="J15" s="147">
        <v>75000</v>
      </c>
      <c r="K15" s="147"/>
      <c r="L15" s="147" t="s">
        <v>25</v>
      </c>
      <c r="M15" s="148"/>
      <c r="N15" s="144" t="s">
        <v>53</v>
      </c>
      <c r="O15" s="144" t="s">
        <v>54</v>
      </c>
      <c r="P15" s="144" t="s">
        <v>35</v>
      </c>
      <c r="Q15" s="155">
        <v>30</v>
      </c>
      <c r="R15" s="144" t="s">
        <v>23</v>
      </c>
      <c r="S15" s="145" t="s">
        <v>27</v>
      </c>
      <c r="T15" s="144" t="s">
        <v>24</v>
      </c>
      <c r="V15" s="145" t="s">
        <v>64</v>
      </c>
    </row>
    <row r="16" spans="1:23" s="144" customFormat="1" ht="30">
      <c r="A16" s="142">
        <v>15</v>
      </c>
      <c r="B16" s="144" t="s">
        <v>243</v>
      </c>
      <c r="C16" s="145" t="s">
        <v>248</v>
      </c>
      <c r="D16" s="146"/>
      <c r="E16" s="144" t="s">
        <v>49</v>
      </c>
      <c r="F16" s="148"/>
      <c r="G16" s="148"/>
      <c r="H16" s="148">
        <v>100000</v>
      </c>
      <c r="I16" s="148">
        <v>600000</v>
      </c>
      <c r="J16" s="148"/>
      <c r="K16" s="149"/>
      <c r="L16" s="149" t="s">
        <v>82</v>
      </c>
      <c r="M16" s="148"/>
      <c r="Q16" s="155"/>
      <c r="S16" s="145"/>
      <c r="W16" s="145"/>
    </row>
    <row r="17" spans="1:23" s="144" customFormat="1" ht="30">
      <c r="A17" s="142">
        <v>16</v>
      </c>
      <c r="B17" s="144" t="s">
        <v>243</v>
      </c>
      <c r="C17" s="145" t="s">
        <v>249</v>
      </c>
      <c r="D17" s="146"/>
      <c r="F17" s="148"/>
      <c r="G17" s="148"/>
      <c r="H17" s="152">
        <v>100000</v>
      </c>
      <c r="I17" s="148"/>
      <c r="J17" s="148">
        <v>1500000</v>
      </c>
      <c r="K17" s="149"/>
      <c r="L17" s="149"/>
      <c r="M17" s="148"/>
      <c r="Q17" s="155"/>
      <c r="S17" s="145"/>
      <c r="W17" s="145"/>
    </row>
    <row r="18" spans="1:23" s="144" customFormat="1">
      <c r="A18" s="142">
        <v>17</v>
      </c>
      <c r="B18" s="144" t="s">
        <v>183</v>
      </c>
      <c r="C18" s="145" t="s">
        <v>184</v>
      </c>
      <c r="D18" s="146"/>
      <c r="E18" s="144" t="s">
        <v>49</v>
      </c>
      <c r="F18" s="150"/>
      <c r="G18" s="150"/>
      <c r="H18" s="148">
        <v>300000</v>
      </c>
      <c r="I18" s="148">
        <v>300000</v>
      </c>
      <c r="J18" s="148">
        <v>300000</v>
      </c>
      <c r="K18" s="149"/>
      <c r="L18" s="149" t="s">
        <v>82</v>
      </c>
      <c r="M18" s="148"/>
      <c r="Q18" s="155"/>
      <c r="S18" s="145"/>
      <c r="V18" s="145"/>
    </row>
    <row r="19" spans="1:23" s="144" customFormat="1">
      <c r="A19" s="142">
        <v>18</v>
      </c>
      <c r="B19" s="144" t="s">
        <v>244</v>
      </c>
      <c r="C19" s="145" t="s">
        <v>245</v>
      </c>
      <c r="D19" s="146"/>
      <c r="E19" s="144" t="s">
        <v>49</v>
      </c>
      <c r="F19" s="148"/>
      <c r="G19" s="148"/>
      <c r="H19" s="148">
        <v>500000</v>
      </c>
      <c r="I19" s="148"/>
      <c r="J19" s="148"/>
      <c r="K19" s="149"/>
      <c r="L19" s="149" t="s">
        <v>82</v>
      </c>
      <c r="M19" s="148"/>
      <c r="Q19" s="155"/>
      <c r="S19" s="145"/>
      <c r="W19" s="145"/>
    </row>
    <row r="20" spans="1:23" s="144" customFormat="1">
      <c r="A20" s="142">
        <v>19</v>
      </c>
      <c r="B20" s="144" t="s">
        <v>244</v>
      </c>
      <c r="C20" s="145" t="s">
        <v>246</v>
      </c>
      <c r="D20" s="146"/>
      <c r="E20" s="144" t="s">
        <v>49</v>
      </c>
      <c r="F20" s="148"/>
      <c r="G20" s="148"/>
      <c r="H20" s="150"/>
      <c r="I20" s="148">
        <v>500000</v>
      </c>
      <c r="J20" s="148"/>
      <c r="K20" s="149"/>
      <c r="L20" s="149" t="s">
        <v>82</v>
      </c>
      <c r="M20" s="148"/>
      <c r="Q20" s="155"/>
      <c r="S20" s="145"/>
      <c r="W20" s="145"/>
    </row>
    <row r="21" spans="1:23" s="144" customFormat="1">
      <c r="A21" s="142">
        <v>20</v>
      </c>
      <c r="B21" s="144" t="s">
        <v>244</v>
      </c>
      <c r="C21" s="145" t="s">
        <v>247</v>
      </c>
      <c r="D21" s="146"/>
      <c r="E21" s="144" t="s">
        <v>49</v>
      </c>
      <c r="F21" s="148"/>
      <c r="G21" s="148"/>
      <c r="H21" s="148"/>
      <c r="I21" s="148"/>
      <c r="J21" s="148">
        <v>500000</v>
      </c>
      <c r="K21" s="149"/>
      <c r="L21" s="149" t="s">
        <v>82</v>
      </c>
      <c r="M21" s="148"/>
      <c r="Q21" s="155"/>
      <c r="S21" s="145"/>
      <c r="W21" s="145"/>
    </row>
    <row r="22" spans="1:23" s="144" customFormat="1">
      <c r="A22" s="142">
        <v>21</v>
      </c>
      <c r="B22" s="144" t="s">
        <v>250</v>
      </c>
      <c r="C22" s="145" t="s">
        <v>251</v>
      </c>
      <c r="D22" s="146"/>
      <c r="E22" s="144" t="s">
        <v>49</v>
      </c>
      <c r="F22" s="148"/>
      <c r="G22" s="148"/>
      <c r="H22" s="148"/>
      <c r="I22" s="148">
        <v>500000</v>
      </c>
      <c r="J22" s="148"/>
      <c r="K22" s="149"/>
      <c r="L22" s="149"/>
      <c r="M22" s="148"/>
      <c r="Q22" s="155"/>
      <c r="S22" s="145"/>
      <c r="W22" s="145"/>
    </row>
    <row r="23" spans="1:23">
      <c r="F23" s="156">
        <f>SUM(F2:F22)</f>
        <v>1570000</v>
      </c>
      <c r="G23" s="156">
        <f>SUM(G2:G22)</f>
        <v>415000</v>
      </c>
      <c r="H23" s="156">
        <f>SUM(H2:H22)</f>
        <v>1480000</v>
      </c>
      <c r="I23" s="156">
        <f>SUM(I2:I22)</f>
        <v>2240000</v>
      </c>
      <c r="J23" s="156">
        <f>SUM(J2:J22)</f>
        <v>2620000</v>
      </c>
      <c r="K23" s="156"/>
      <c r="L23" s="156"/>
      <c r="M23" s="156">
        <f>SUM(M2:M22)</f>
        <v>1014179</v>
      </c>
    </row>
    <row r="24" spans="1:23">
      <c r="M24" s="154"/>
    </row>
    <row r="27" spans="1:23">
      <c r="F27" s="159"/>
    </row>
  </sheetData>
  <autoFilter ref="A1:V399" xr:uid="{00000000-0009-0000-0000-000000000000}"/>
  <pageMargins left="0.7" right="0.7" top="0.75" bottom="0.75" header="0.3" footer="0.3"/>
  <pageSetup paperSize="3" scale="76" fitToWidth="0" orientation="landscape" r:id="rId1"/>
  <colBreaks count="1" manualBreakCount="1">
    <brk id="13" max="1048575" man="1"/>
  </colBreaks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C95D9-272A-4F7D-AA30-6D295824DC57}">
  <dimension ref="A1:O46"/>
  <sheetViews>
    <sheetView workbookViewId="0"/>
  </sheetViews>
  <sheetFormatPr defaultRowHeight="15"/>
  <cols>
    <col min="1" max="1" width="13.140625" bestFit="1" customWidth="1"/>
    <col min="2" max="2" width="14.28515625" bestFit="1" customWidth="1"/>
    <col min="3" max="3" width="24.85546875" bestFit="1" customWidth="1"/>
    <col min="4" max="4" width="20.140625" bestFit="1" customWidth="1"/>
    <col min="5" max="5" width="15" bestFit="1" customWidth="1"/>
    <col min="6" max="7" width="14.28515625" bestFit="1" customWidth="1"/>
    <col min="8" max="8" width="12.5703125" customWidth="1"/>
    <col min="9" max="9" width="15.5703125" bestFit="1" customWidth="1"/>
    <col min="10" max="10" width="15.5703125" customWidth="1"/>
    <col min="11" max="11" width="19.28515625" customWidth="1"/>
    <col min="12" max="12" width="17.140625" customWidth="1"/>
    <col min="13" max="13" width="14.42578125" customWidth="1"/>
    <col min="14" max="14" width="14.28515625" bestFit="1" customWidth="1"/>
  </cols>
  <sheetData>
    <row r="1" spans="1:9" s="208" customFormat="1">
      <c r="A1" s="207"/>
      <c r="B1" s="207">
        <v>2025</v>
      </c>
      <c r="C1" s="207" t="s">
        <v>265</v>
      </c>
      <c r="D1" s="207" t="s">
        <v>133</v>
      </c>
      <c r="E1" s="207" t="s">
        <v>266</v>
      </c>
      <c r="F1" s="207" t="s">
        <v>150</v>
      </c>
      <c r="G1" s="207" t="s">
        <v>267</v>
      </c>
    </row>
    <row r="2" spans="1:9">
      <c r="A2" s="153" t="s">
        <v>268</v>
      </c>
      <c r="B2" s="154">
        <v>1544000</v>
      </c>
      <c r="C2" s="154">
        <v>248000</v>
      </c>
      <c r="D2" s="154"/>
      <c r="E2" s="154">
        <v>150000</v>
      </c>
      <c r="F2" s="204"/>
      <c r="G2" s="159">
        <f>C2-D2-E2-F2</f>
        <v>98000</v>
      </c>
      <c r="I2" s="209">
        <f>B18+B33</f>
        <v>1544000</v>
      </c>
    </row>
    <row r="3" spans="1:9">
      <c r="A3" s="153" t="s">
        <v>269</v>
      </c>
      <c r="B3" s="154">
        <v>30000</v>
      </c>
      <c r="C3" s="154">
        <v>30000</v>
      </c>
      <c r="D3" s="154">
        <v>7500</v>
      </c>
      <c r="E3" s="154"/>
      <c r="F3" s="204"/>
      <c r="G3" s="159">
        <f t="shared" ref="G3:G11" si="0">C3-D3-E3-F3</f>
        <v>22500</v>
      </c>
      <c r="I3" s="209">
        <f t="shared" ref="I3:I11" si="1">B19+B34</f>
        <v>30000</v>
      </c>
    </row>
    <row r="4" spans="1:9">
      <c r="A4" s="153" t="s">
        <v>270</v>
      </c>
      <c r="B4" s="154">
        <v>60000</v>
      </c>
      <c r="C4" s="154">
        <v>60000</v>
      </c>
      <c r="D4" s="154"/>
      <c r="E4" s="154">
        <v>18000</v>
      </c>
      <c r="F4" s="204"/>
      <c r="G4" s="159">
        <f t="shared" si="0"/>
        <v>42000</v>
      </c>
      <c r="I4" s="209">
        <f t="shared" si="1"/>
        <v>60000</v>
      </c>
    </row>
    <row r="5" spans="1:9">
      <c r="A5" s="153" t="s">
        <v>271</v>
      </c>
      <c r="B5" s="154">
        <v>90000</v>
      </c>
      <c r="C5" s="154">
        <v>50000</v>
      </c>
      <c r="D5" s="154"/>
      <c r="E5" s="154">
        <v>10000</v>
      </c>
      <c r="F5" s="204"/>
      <c r="G5" s="159">
        <f t="shared" si="0"/>
        <v>40000</v>
      </c>
      <c r="I5" s="209">
        <f t="shared" si="1"/>
        <v>90000</v>
      </c>
    </row>
    <row r="6" spans="1:9">
      <c r="A6" s="153" t="s">
        <v>272</v>
      </c>
      <c r="B6" s="154">
        <v>555000</v>
      </c>
      <c r="C6" s="154">
        <v>555000</v>
      </c>
      <c r="D6" s="154">
        <v>175000</v>
      </c>
      <c r="E6" s="154"/>
      <c r="F6" s="204"/>
      <c r="G6" s="159">
        <f t="shared" si="0"/>
        <v>380000</v>
      </c>
      <c r="I6" s="209">
        <f t="shared" si="1"/>
        <v>555000</v>
      </c>
    </row>
    <row r="7" spans="1:9">
      <c r="A7" s="153" t="s">
        <v>19</v>
      </c>
      <c r="B7" s="154">
        <v>664500</v>
      </c>
      <c r="C7" s="154">
        <v>664500</v>
      </c>
      <c r="D7" s="154"/>
      <c r="E7" s="154">
        <v>409500</v>
      </c>
      <c r="F7" s="204"/>
      <c r="G7" s="159">
        <f t="shared" si="0"/>
        <v>255000</v>
      </c>
      <c r="I7" s="209">
        <f t="shared" si="1"/>
        <v>664500</v>
      </c>
    </row>
    <row r="8" spans="1:9">
      <c r="A8" s="153" t="s">
        <v>273</v>
      </c>
      <c r="B8" s="154">
        <f>4986000-8000</f>
        <v>4978000</v>
      </c>
      <c r="C8" s="154">
        <f>B8-3750000</f>
        <v>1228000</v>
      </c>
      <c r="D8" s="154"/>
      <c r="E8" s="154">
        <v>155000</v>
      </c>
      <c r="F8" s="204">
        <f>500000+45000+6000+7500+30000</f>
        <v>588500</v>
      </c>
      <c r="G8" s="159">
        <f t="shared" si="0"/>
        <v>484500</v>
      </c>
      <c r="I8" s="209">
        <f t="shared" si="1"/>
        <v>4978000</v>
      </c>
    </row>
    <row r="9" spans="1:9">
      <c r="A9" s="153" t="s">
        <v>196</v>
      </c>
      <c r="B9" s="154">
        <v>2320000</v>
      </c>
      <c r="C9" s="154">
        <v>2320000</v>
      </c>
      <c r="D9" s="154">
        <v>744000</v>
      </c>
      <c r="E9" s="154">
        <v>500000</v>
      </c>
      <c r="F9" s="204"/>
      <c r="G9" s="159">
        <f t="shared" si="0"/>
        <v>1076000</v>
      </c>
      <c r="I9" s="209">
        <f>B25+B40</f>
        <v>2320000</v>
      </c>
    </row>
    <row r="10" spans="1:9">
      <c r="A10" s="153" t="s">
        <v>109</v>
      </c>
      <c r="B10" s="154">
        <v>200000</v>
      </c>
      <c r="C10" s="154">
        <v>200000</v>
      </c>
      <c r="D10" s="154">
        <v>10000</v>
      </c>
      <c r="E10" s="154"/>
      <c r="F10" s="153"/>
      <c r="G10" s="159">
        <f t="shared" si="0"/>
        <v>190000</v>
      </c>
      <c r="I10" s="209">
        <f t="shared" si="1"/>
        <v>200000</v>
      </c>
    </row>
    <row r="11" spans="1:9">
      <c r="A11" s="153" t="s">
        <v>274</v>
      </c>
      <c r="B11" s="154">
        <v>1570000</v>
      </c>
      <c r="C11" s="154">
        <v>1570000</v>
      </c>
      <c r="D11" s="154">
        <v>814179</v>
      </c>
      <c r="E11" s="154">
        <v>400000</v>
      </c>
      <c r="F11" s="153"/>
      <c r="G11" s="159">
        <f t="shared" si="0"/>
        <v>355821</v>
      </c>
      <c r="I11" s="209">
        <f t="shared" si="1"/>
        <v>1570000</v>
      </c>
    </row>
    <row r="12" spans="1:9" s="211" customFormat="1">
      <c r="A12" s="210"/>
      <c r="B12" s="206">
        <f t="shared" ref="B12:G12" si="2">SUM(B2:B11)</f>
        <v>12011500</v>
      </c>
      <c r="C12" s="206">
        <f t="shared" si="2"/>
        <v>6925500</v>
      </c>
      <c r="D12" s="206">
        <f t="shared" si="2"/>
        <v>1750679</v>
      </c>
      <c r="E12" s="206">
        <f t="shared" si="2"/>
        <v>1642500</v>
      </c>
      <c r="F12" s="206">
        <f t="shared" si="2"/>
        <v>588500</v>
      </c>
      <c r="G12" s="206">
        <f t="shared" si="2"/>
        <v>2943821</v>
      </c>
      <c r="I12" s="209">
        <f>SUM(I2:I11)</f>
        <v>12011500</v>
      </c>
    </row>
    <row r="13" spans="1:9">
      <c r="B13" s="212"/>
      <c r="C13" s="212"/>
      <c r="D13" s="212"/>
      <c r="E13" s="212"/>
    </row>
    <row r="14" spans="1:9">
      <c r="B14" s="212"/>
      <c r="C14" s="212"/>
      <c r="D14" s="212"/>
      <c r="E14" s="212"/>
    </row>
    <row r="15" spans="1:9">
      <c r="B15" s="212"/>
      <c r="C15" s="212"/>
      <c r="D15" s="212"/>
      <c r="E15" s="212"/>
    </row>
    <row r="16" spans="1:9" ht="15.75" thickBot="1">
      <c r="B16" s="212"/>
      <c r="C16" s="212" t="s">
        <v>275</v>
      </c>
      <c r="D16" s="212"/>
      <c r="E16" t="s">
        <v>276</v>
      </c>
      <c r="G16" s="212"/>
      <c r="H16" t="s">
        <v>277</v>
      </c>
    </row>
    <row r="17" spans="1:15" s="218" customFormat="1" ht="45">
      <c r="A17" s="213"/>
      <c r="B17" s="213" t="s">
        <v>278</v>
      </c>
      <c r="C17" s="214" t="s">
        <v>279</v>
      </c>
      <c r="D17" s="214" t="s">
        <v>280</v>
      </c>
      <c r="E17" s="215" t="s">
        <v>281</v>
      </c>
      <c r="F17" s="216" t="s">
        <v>282</v>
      </c>
      <c r="G17" s="217" t="s">
        <v>283</v>
      </c>
      <c r="H17" s="215" t="s">
        <v>284</v>
      </c>
      <c r="I17" s="216" t="s">
        <v>20</v>
      </c>
      <c r="J17" s="216" t="s">
        <v>285</v>
      </c>
      <c r="K17" s="217" t="s">
        <v>283</v>
      </c>
    </row>
    <row r="18" spans="1:15">
      <c r="A18" s="153" t="s">
        <v>268</v>
      </c>
      <c r="B18" s="154">
        <v>50000</v>
      </c>
      <c r="C18" s="219"/>
      <c r="D18" s="220"/>
      <c r="E18" s="221"/>
      <c r="F18" s="154"/>
      <c r="G18" s="222"/>
      <c r="H18" s="221">
        <v>50000</v>
      </c>
      <c r="I18" s="154"/>
      <c r="J18" s="219">
        <v>50000</v>
      </c>
      <c r="K18" s="222"/>
      <c r="L18" s="209">
        <f>C18+E18+H18</f>
        <v>50000</v>
      </c>
      <c r="M18" s="223"/>
      <c r="O18" s="229">
        <f>B18/$B$28</f>
        <v>9.6796050721130577E-3</v>
      </c>
    </row>
    <row r="19" spans="1:15">
      <c r="A19" s="153" t="s">
        <v>269</v>
      </c>
      <c r="B19" s="154">
        <v>0</v>
      </c>
      <c r="C19" s="219"/>
      <c r="D19" s="220"/>
      <c r="E19" s="221"/>
      <c r="F19" s="154"/>
      <c r="G19" s="222"/>
      <c r="H19" s="221"/>
      <c r="I19" s="154"/>
      <c r="J19" s="219"/>
      <c r="K19" s="222"/>
      <c r="L19" s="209">
        <f t="shared" ref="L19:L43" si="3">C19+E19+H19</f>
        <v>0</v>
      </c>
      <c r="O19" s="229">
        <f t="shared" ref="O19:O28" si="4">B19/$B$28</f>
        <v>0</v>
      </c>
    </row>
    <row r="20" spans="1:15">
      <c r="A20" s="153" t="s">
        <v>270</v>
      </c>
      <c r="B20" s="154">
        <v>25000</v>
      </c>
      <c r="C20" s="219">
        <v>25000</v>
      </c>
      <c r="D20" s="220"/>
      <c r="E20" s="221"/>
      <c r="F20" s="154"/>
      <c r="G20" s="222"/>
      <c r="H20" s="221"/>
      <c r="I20" s="154"/>
      <c r="J20" s="219"/>
      <c r="K20" s="222"/>
      <c r="L20" s="209">
        <f t="shared" si="3"/>
        <v>25000</v>
      </c>
      <c r="O20" s="229">
        <f t="shared" si="4"/>
        <v>4.8398025360565288E-3</v>
      </c>
    </row>
    <row r="21" spans="1:15">
      <c r="A21" s="153" t="s">
        <v>271</v>
      </c>
      <c r="B21" s="154">
        <v>40000</v>
      </c>
      <c r="C21" s="219">
        <v>40000</v>
      </c>
      <c r="D21" s="220"/>
      <c r="E21" s="221"/>
      <c r="F21" s="154"/>
      <c r="G21" s="222"/>
      <c r="H21" s="221"/>
      <c r="I21" s="154"/>
      <c r="J21" s="219"/>
      <c r="K21" s="222"/>
      <c r="L21" s="209">
        <f t="shared" si="3"/>
        <v>40000</v>
      </c>
      <c r="N21" s="209">
        <f>B28-D24-F25-F26-F27-J18-J24-J25-J27-I23-I24</f>
        <v>1990717</v>
      </c>
      <c r="O21" s="229">
        <f t="shared" si="4"/>
        <v>7.743684057690446E-3</v>
      </c>
    </row>
    <row r="22" spans="1:15">
      <c r="A22" s="153" t="s">
        <v>272</v>
      </c>
      <c r="B22" s="154">
        <v>220000</v>
      </c>
      <c r="C22" s="219"/>
      <c r="D22" s="220"/>
      <c r="E22" s="221"/>
      <c r="F22" s="154"/>
      <c r="G22" s="222"/>
      <c r="H22" s="221"/>
      <c r="I22" s="154"/>
      <c r="J22" s="219"/>
      <c r="K22" s="222"/>
      <c r="L22" s="209">
        <f t="shared" si="3"/>
        <v>0</v>
      </c>
      <c r="O22" s="229">
        <f t="shared" si="4"/>
        <v>4.2590262317297456E-2</v>
      </c>
    </row>
    <row r="23" spans="1:15">
      <c r="A23" s="153" t="s">
        <v>19</v>
      </c>
      <c r="B23" s="154">
        <v>664500</v>
      </c>
      <c r="C23" s="219">
        <v>255000</v>
      </c>
      <c r="D23" s="220"/>
      <c r="E23" s="221"/>
      <c r="F23" s="154"/>
      <c r="G23" s="222"/>
      <c r="H23" s="221">
        <v>409500</v>
      </c>
      <c r="I23" s="154">
        <v>409500</v>
      </c>
      <c r="J23" s="219"/>
      <c r="K23" s="222"/>
      <c r="L23" s="209">
        <f t="shared" si="3"/>
        <v>664500</v>
      </c>
      <c r="O23" s="229">
        <f t="shared" si="4"/>
        <v>0.12864195140838253</v>
      </c>
    </row>
    <row r="24" spans="1:15">
      <c r="A24" s="153" t="s">
        <v>273</v>
      </c>
      <c r="B24" s="154">
        <v>876000</v>
      </c>
      <c r="C24" s="219">
        <v>61000</v>
      </c>
      <c r="D24" s="219">
        <v>575000</v>
      </c>
      <c r="E24" s="221"/>
      <c r="F24" s="154"/>
      <c r="G24" s="222"/>
      <c r="H24" s="221">
        <v>240000</v>
      </c>
      <c r="I24" s="154">
        <v>115000</v>
      </c>
      <c r="J24" s="219">
        <v>125000</v>
      </c>
      <c r="K24" s="222"/>
      <c r="L24" s="209">
        <f>C24+E24+H24+D24</f>
        <v>876000</v>
      </c>
      <c r="O24" s="229">
        <f t="shared" si="4"/>
        <v>0.16958668086342077</v>
      </c>
    </row>
    <row r="25" spans="1:15">
      <c r="A25" s="153" t="s">
        <v>196</v>
      </c>
      <c r="B25" s="154">
        <v>2320000</v>
      </c>
      <c r="C25" s="219">
        <v>820000</v>
      </c>
      <c r="D25" s="220"/>
      <c r="E25" s="221">
        <v>744000</v>
      </c>
      <c r="F25" s="154">
        <v>744000</v>
      </c>
      <c r="G25" s="222">
        <v>0</v>
      </c>
      <c r="H25" s="221">
        <v>756000</v>
      </c>
      <c r="I25" s="154"/>
      <c r="J25" s="219">
        <v>500000</v>
      </c>
      <c r="K25" s="222">
        <v>256000</v>
      </c>
      <c r="L25" s="209">
        <f>C25+E25+H25</f>
        <v>2320000</v>
      </c>
      <c r="O25" s="229">
        <f t="shared" si="4"/>
        <v>0.44913367534604587</v>
      </c>
    </row>
    <row r="26" spans="1:15">
      <c r="A26" s="153" t="s">
        <v>109</v>
      </c>
      <c r="B26" s="154">
        <v>200000</v>
      </c>
      <c r="C26" s="219"/>
      <c r="D26" s="224"/>
      <c r="E26" s="221">
        <v>200000</v>
      </c>
      <c r="F26" s="154">
        <v>10000</v>
      </c>
      <c r="G26" s="222">
        <v>190000</v>
      </c>
      <c r="H26" s="221"/>
      <c r="I26" s="154"/>
      <c r="J26" s="219"/>
      <c r="K26" s="222"/>
      <c r="L26" s="209">
        <f t="shared" si="3"/>
        <v>200000</v>
      </c>
      <c r="O26" s="229">
        <f t="shared" si="4"/>
        <v>3.8718420288452231E-2</v>
      </c>
    </row>
    <row r="27" spans="1:15">
      <c r="A27" s="153" t="s">
        <v>274</v>
      </c>
      <c r="B27" s="154">
        <v>770000</v>
      </c>
      <c r="C27" s="219">
        <v>20000</v>
      </c>
      <c r="D27" s="224"/>
      <c r="E27" s="221">
        <v>750000</v>
      </c>
      <c r="F27" s="154">
        <v>446283</v>
      </c>
      <c r="G27" s="222">
        <v>103717</v>
      </c>
      <c r="H27" s="221"/>
      <c r="I27" s="154"/>
      <c r="J27" s="219">
        <v>200000</v>
      </c>
      <c r="K27" s="222"/>
      <c r="L27" s="209">
        <f t="shared" si="3"/>
        <v>770000</v>
      </c>
      <c r="O27" s="229">
        <f t="shared" si="4"/>
        <v>0.1490659181105411</v>
      </c>
    </row>
    <row r="28" spans="1:15" ht="15.75" thickBot="1">
      <c r="A28" s="153"/>
      <c r="B28" s="156">
        <f>SUM(B18:B27)</f>
        <v>5165500</v>
      </c>
      <c r="C28" s="219"/>
      <c r="D28" s="224"/>
      <c r="E28" s="225"/>
      <c r="F28" s="226"/>
      <c r="G28" s="227"/>
      <c r="H28" s="225"/>
      <c r="I28" s="226"/>
      <c r="J28" s="228"/>
      <c r="K28" s="227"/>
      <c r="L28" s="209">
        <f t="shared" si="3"/>
        <v>0</v>
      </c>
      <c r="O28" s="229">
        <f t="shared" si="4"/>
        <v>1</v>
      </c>
    </row>
    <row r="29" spans="1:15">
      <c r="L29" s="209"/>
    </row>
    <row r="30" spans="1:15">
      <c r="B30" s="229"/>
      <c r="L30" s="209"/>
      <c r="M30" s="209">
        <f>B28-B25-D24-F26-F27</f>
        <v>1814217</v>
      </c>
    </row>
    <row r="31" spans="1:15" ht="15.75" thickBot="1">
      <c r="B31" s="212"/>
      <c r="C31" s="212" t="s">
        <v>275</v>
      </c>
      <c r="D31" s="212"/>
      <c r="E31" s="212"/>
      <c r="F31" t="s">
        <v>276</v>
      </c>
      <c r="H31" s="212"/>
      <c r="I31" t="s">
        <v>277</v>
      </c>
      <c r="L31" s="209"/>
    </row>
    <row r="32" spans="1:15" ht="45">
      <c r="A32" s="213"/>
      <c r="B32" s="213" t="s">
        <v>286</v>
      </c>
      <c r="C32" s="214" t="s">
        <v>287</v>
      </c>
      <c r="D32" s="214" t="s">
        <v>280</v>
      </c>
      <c r="E32" s="215" t="s">
        <v>281</v>
      </c>
      <c r="F32" s="216" t="s">
        <v>282</v>
      </c>
      <c r="G32" s="217" t="s">
        <v>283</v>
      </c>
      <c r="H32" s="215" t="s">
        <v>284</v>
      </c>
      <c r="I32" s="216" t="s">
        <v>20</v>
      </c>
      <c r="J32" s="216" t="s">
        <v>285</v>
      </c>
      <c r="K32" s="217" t="s">
        <v>283</v>
      </c>
      <c r="L32" s="209"/>
      <c r="M32" s="218"/>
    </row>
    <row r="33" spans="1:14">
      <c r="A33" s="153" t="s">
        <v>268</v>
      </c>
      <c r="B33" s="154">
        <v>1494000</v>
      </c>
      <c r="C33" s="219">
        <v>48000</v>
      </c>
      <c r="D33" s="220"/>
      <c r="E33" s="221"/>
      <c r="F33" s="154"/>
      <c r="G33" s="222"/>
      <c r="H33" s="221">
        <v>1446000</v>
      </c>
      <c r="I33" s="154">
        <v>150000</v>
      </c>
      <c r="J33" s="219">
        <v>1296000</v>
      </c>
      <c r="K33" s="222">
        <v>0</v>
      </c>
      <c r="L33" s="209">
        <f t="shared" si="3"/>
        <v>1494000</v>
      </c>
      <c r="M33" s="223"/>
    </row>
    <row r="34" spans="1:14">
      <c r="A34" s="153" t="s">
        <v>269</v>
      </c>
      <c r="B34" s="154">
        <v>30000</v>
      </c>
      <c r="C34" s="219"/>
      <c r="D34" s="220"/>
      <c r="E34" s="221">
        <v>30000</v>
      </c>
      <c r="F34" s="154">
        <v>7500</v>
      </c>
      <c r="G34" s="222">
        <v>22500</v>
      </c>
      <c r="H34" s="221"/>
      <c r="I34" s="154"/>
      <c r="J34" s="219"/>
      <c r="K34" s="222"/>
      <c r="L34" s="209">
        <f t="shared" si="3"/>
        <v>30000</v>
      </c>
    </row>
    <row r="35" spans="1:14">
      <c r="A35" s="153" t="s">
        <v>270</v>
      </c>
      <c r="B35" s="154">
        <v>35000</v>
      </c>
      <c r="C35" s="219">
        <v>17000</v>
      </c>
      <c r="D35" s="220"/>
      <c r="E35" s="221"/>
      <c r="F35" s="154"/>
      <c r="G35" s="222"/>
      <c r="H35" s="221">
        <v>18000</v>
      </c>
      <c r="I35" s="154"/>
      <c r="J35" s="219">
        <v>18000</v>
      </c>
      <c r="K35" s="222"/>
      <c r="L35" s="209">
        <f t="shared" si="3"/>
        <v>35000</v>
      </c>
      <c r="N35" s="209">
        <f>B43-D39-F34-F37-F42</f>
        <v>6302104</v>
      </c>
    </row>
    <row r="36" spans="1:14">
      <c r="A36" s="153" t="s">
        <v>271</v>
      </c>
      <c r="B36" s="154">
        <v>50000</v>
      </c>
      <c r="C36" s="219"/>
      <c r="D36" s="220"/>
      <c r="E36" s="221"/>
      <c r="F36" s="154"/>
      <c r="G36" s="222"/>
      <c r="H36" s="221">
        <v>50000</v>
      </c>
      <c r="I36" s="154"/>
      <c r="J36" s="219">
        <v>50000</v>
      </c>
      <c r="K36" s="222"/>
      <c r="L36" s="209">
        <f t="shared" si="3"/>
        <v>50000</v>
      </c>
      <c r="N36" s="209">
        <f>N35-I33-I38-I39-J33-J35-J36-J39-J42</f>
        <v>545604</v>
      </c>
    </row>
    <row r="37" spans="1:14">
      <c r="A37" s="153" t="s">
        <v>272</v>
      </c>
      <c r="B37" s="154">
        <v>335000</v>
      </c>
      <c r="C37" s="219">
        <v>135000</v>
      </c>
      <c r="D37" s="220"/>
      <c r="E37" s="221">
        <v>200000</v>
      </c>
      <c r="F37" s="154">
        <v>120000</v>
      </c>
      <c r="G37" s="222">
        <v>80000</v>
      </c>
      <c r="H37" s="221"/>
      <c r="I37" s="154"/>
      <c r="J37" s="219"/>
      <c r="K37" s="222"/>
      <c r="L37" s="209">
        <f t="shared" si="3"/>
        <v>335000</v>
      </c>
    </row>
    <row r="38" spans="1:14">
      <c r="A38" s="153" t="s">
        <v>19</v>
      </c>
      <c r="B38" s="154">
        <v>0</v>
      </c>
      <c r="C38" s="219">
        <v>130000</v>
      </c>
      <c r="D38" s="220"/>
      <c r="E38" s="221"/>
      <c r="F38" s="154"/>
      <c r="G38" s="222"/>
      <c r="H38" s="221">
        <v>27500</v>
      </c>
      <c r="I38" s="221">
        <v>27500</v>
      </c>
      <c r="J38" s="219"/>
      <c r="K38" s="222"/>
      <c r="L38" s="209">
        <f t="shared" si="3"/>
        <v>157500</v>
      </c>
    </row>
    <row r="39" spans="1:14">
      <c r="A39" s="153" t="s">
        <v>273</v>
      </c>
      <c r="B39" s="154">
        <f>4110000-8000</f>
        <v>4102000</v>
      </c>
      <c r="C39" s="219">
        <f>46500-8000</f>
        <v>38500</v>
      </c>
      <c r="D39" s="219">
        <v>48500</v>
      </c>
      <c r="E39" s="221"/>
      <c r="F39" s="154"/>
      <c r="G39" s="222"/>
      <c r="H39" s="221">
        <v>4015000</v>
      </c>
      <c r="I39" s="154">
        <v>140000</v>
      </c>
      <c r="J39" s="219">
        <v>3875000</v>
      </c>
      <c r="K39" s="222"/>
      <c r="L39" s="209">
        <f>C39+E39+H39+D39</f>
        <v>4102000</v>
      </c>
      <c r="N39" s="209"/>
    </row>
    <row r="40" spans="1:14">
      <c r="A40" s="153" t="s">
        <v>196</v>
      </c>
      <c r="B40" s="154">
        <v>0</v>
      </c>
      <c r="C40" s="219"/>
      <c r="D40" s="220"/>
      <c r="E40" s="221"/>
      <c r="F40" s="154"/>
      <c r="G40" s="222"/>
      <c r="H40" s="221"/>
      <c r="I40" s="154"/>
      <c r="J40" s="219"/>
      <c r="K40" s="222"/>
      <c r="L40" s="209">
        <f t="shared" si="3"/>
        <v>0</v>
      </c>
      <c r="N40">
        <f>1990717+545604</f>
        <v>2536321</v>
      </c>
    </row>
    <row r="41" spans="1:14">
      <c r="A41" s="153" t="s">
        <v>109</v>
      </c>
      <c r="B41" s="154">
        <v>0</v>
      </c>
      <c r="C41" s="219"/>
      <c r="D41" s="224"/>
      <c r="E41" s="221"/>
      <c r="F41" s="154"/>
      <c r="G41" s="222"/>
      <c r="H41" s="221"/>
      <c r="I41" s="154"/>
      <c r="J41" s="219"/>
      <c r="K41" s="222"/>
      <c r="L41" s="209">
        <f t="shared" si="3"/>
        <v>0</v>
      </c>
    </row>
    <row r="42" spans="1:14">
      <c r="A42" s="153" t="s">
        <v>274</v>
      </c>
      <c r="B42" s="154">
        <v>800000</v>
      </c>
      <c r="C42" s="219">
        <v>160000</v>
      </c>
      <c r="D42" s="224"/>
      <c r="E42" s="221">
        <f>265000+175000</f>
        <v>440000</v>
      </c>
      <c r="F42" s="154">
        <f>229008+138888</f>
        <v>367896</v>
      </c>
      <c r="G42" s="222">
        <f>35992+36112</f>
        <v>72104</v>
      </c>
      <c r="H42" s="221">
        <v>200000</v>
      </c>
      <c r="I42" s="154"/>
      <c r="J42" s="219">
        <v>200000</v>
      </c>
      <c r="K42" s="222"/>
      <c r="L42" s="209">
        <f t="shared" si="3"/>
        <v>800000</v>
      </c>
    </row>
    <row r="43" spans="1:14" ht="15.75" thickBot="1">
      <c r="A43" s="153"/>
      <c r="B43" s="156">
        <f>SUM(B33:B42)</f>
        <v>6846000</v>
      </c>
      <c r="C43" s="219"/>
      <c r="D43" s="224"/>
      <c r="E43" s="225"/>
      <c r="F43" s="226"/>
      <c r="G43" s="227"/>
      <c r="H43" s="225"/>
      <c r="I43" s="226"/>
      <c r="J43" s="228"/>
      <c r="K43" s="227"/>
      <c r="L43" s="209">
        <f t="shared" si="3"/>
        <v>0</v>
      </c>
    </row>
    <row r="45" spans="1:14">
      <c r="L45" s="209"/>
    </row>
    <row r="46" spans="1:14">
      <c r="B46">
        <f>7101500-48500-495396-5775000</f>
        <v>782604</v>
      </c>
      <c r="J46" s="209">
        <f>J33+J39</f>
        <v>5171000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</vt:i4>
      </vt:variant>
    </vt:vector>
  </HeadingPairs>
  <TitlesOfParts>
    <vt:vector size="24" baseType="lpstr">
      <vt:lpstr>2025 Impact on Operating</vt:lpstr>
      <vt:lpstr>2023 ShowDoc Graphs</vt:lpstr>
      <vt:lpstr>P1</vt:lpstr>
      <vt:lpstr>P2</vt:lpstr>
      <vt:lpstr>ShowDoc 2024</vt:lpstr>
      <vt:lpstr>Master 2025-2030</vt:lpstr>
      <vt:lpstr>Fire 2025-2030</vt:lpstr>
      <vt:lpstr>Golf 2025-2030</vt:lpstr>
      <vt:lpstr>IT 2025-2030</vt:lpstr>
      <vt:lpstr>Open Space 2025-2030</vt:lpstr>
      <vt:lpstr>Park and Rec-Pool 2025-2030</vt:lpstr>
      <vt:lpstr>Patterson Farm 2025-2030</vt:lpstr>
      <vt:lpstr>Planning and Zoning 2025-2030</vt:lpstr>
      <vt:lpstr>Police 2025-2030</vt:lpstr>
      <vt:lpstr>Public Works 2025-2030</vt:lpstr>
      <vt:lpstr>Storms Sewer Drains 2025-2030</vt:lpstr>
      <vt:lpstr>Vehicle with Monthly Payments</vt:lpstr>
      <vt:lpstr>Grants </vt:lpstr>
      <vt:lpstr>Stormwater 2025-2029</vt:lpstr>
      <vt:lpstr>Sustainability 2025-2029</vt:lpstr>
      <vt:lpstr>Transportation 2025-2029</vt:lpstr>
      <vt:lpstr>Calculation</vt:lpstr>
      <vt:lpstr>'Master 2025-2030'!Print_Area</vt:lpstr>
      <vt:lpstr>'P1'!Print_Area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 Bhandary</dc:creator>
  <cp:lastModifiedBy>Katie McVan</cp:lastModifiedBy>
  <cp:lastPrinted>2026-10-06T12:31:29Z</cp:lastPrinted>
  <dcterms:created xsi:type="dcterms:W3CDTF">2022-07-12T15:30:11Z</dcterms:created>
  <dcterms:modified xsi:type="dcterms:W3CDTF">2026-10-08T16:33:37Z</dcterms:modified>
</cp:coreProperties>
</file>